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2120" windowHeight="8190" tabRatio="803" activeTab="0"/>
  </bookViews>
  <sheets>
    <sheet name="Содержание" sheetId="1" r:id="rId1"/>
    <sheet name="Справочники" sheetId="2" r:id="rId2"/>
    <sheet name="Параметры" sheetId="3" r:id="rId3"/>
    <sheet name="План продаж " sheetId="4" r:id="rId4"/>
    <sheet name="План закупок " sheetId="5" r:id="rId5"/>
    <sheet name="Коммерческий отдел" sheetId="6" r:id="rId6"/>
    <sheet name="Технический отдел" sheetId="7" r:id="rId7"/>
    <sheet name="Управленческий блок" sheetId="8" r:id="rId8"/>
    <sheet name="Расходы" sheetId="9" r:id="rId9"/>
    <sheet name="Дебиторы" sheetId="10" r:id="rId10"/>
    <sheet name="Кредиторы" sheetId="11" r:id="rId11"/>
    <sheet name="Расчет АМО" sheetId="12" r:id="rId12"/>
    <sheet name="Инвестиции" sheetId="13" r:id="rId13"/>
    <sheet name="Налоги" sheetId="14" r:id="rId14"/>
    <sheet name="НДС" sheetId="15" r:id="rId15"/>
    <sheet name="Неопер. ДиР" sheetId="16" r:id="rId16"/>
    <sheet name="ОДР " sheetId="17" r:id="rId17"/>
    <sheet name="ОДДС" sheetId="18" r:id="rId18"/>
    <sheet name="БФД" sheetId="19" r:id="rId19"/>
    <sheet name="Баланс" sheetId="20" r:id="rId20"/>
    <sheet name="Стратегия" sheetId="21" r:id="rId21"/>
    <sheet name="Анализ эффективности" sheetId="22" r:id="rId22"/>
    <sheet name="Стоимость компании" sheetId="23" r:id="rId23"/>
  </sheets>
  <externalReferences>
    <externalReference r:id="rId26"/>
  </externalReferences>
  <definedNames>
    <definedName name="\0" localSheetId="10">#REF!</definedName>
    <definedName name="\M" localSheetId="10">#REF!</definedName>
    <definedName name="\R" localSheetId="10">#REF!</definedName>
    <definedName name="A_R__A_P__CAPEX" localSheetId="10">#REF!</definedName>
    <definedName name="ACTION_PLAN" localSheetId="10">#REF!</definedName>
    <definedName name="ALTPRINT3" localSheetId="10">#REF!</definedName>
    <definedName name="ALTPRINT4" localSheetId="10">#REF!</definedName>
    <definedName name="ALTPRINT5" localSheetId="10">#REF!</definedName>
    <definedName name="ALTPRINT6" localSheetId="10">#REF!</definedName>
    <definedName name="ALTPRINT7" localSheetId="10">#REF!</definedName>
    <definedName name="ALTPRINT8" localSheetId="10">#REF!</definedName>
    <definedName name="ALTPRINT9" localSheetId="10">#REF!</definedName>
    <definedName name="ANS_INFOPRT" localSheetId="10">#REF!</definedName>
    <definedName name="ANS_KEEPDATA" localSheetId="10">#REF!</definedName>
    <definedName name="ANS_SWAPDATA" localSheetId="10">#REF!</definedName>
    <definedName name="ANS_UPDDATA" localSheetId="10">#REF!</definedName>
    <definedName name="april" localSheetId="10">#REF!</definedName>
    <definedName name="AR" localSheetId="10">#REF!</definedName>
    <definedName name="aug" localSheetId="10">#REF!</definedName>
    <definedName name="AUTO_SCALE" localSheetId="10">#REF!</definedName>
    <definedName name="BALANCE_AREA" localSheetId="10">#REF!</definedName>
    <definedName name="BALANCE_B1" localSheetId="10">#REF!</definedName>
    <definedName name="BALANCE_B2" localSheetId="10">#REF!</definedName>
    <definedName name="BALANCESHEET" localSheetId="10">#REF!</definedName>
    <definedName name="BEGIN_SHEET" localSheetId="10">#REF!</definedName>
    <definedName name="BS" localSheetId="10">#REF!</definedName>
    <definedName name="CASH" localSheetId="10">#REF!</definedName>
    <definedName name="CASH_AREA" localSheetId="10">#REF!</definedName>
    <definedName name="CASH_B1" localSheetId="10">#REF!</definedName>
    <definedName name="CASH1" localSheetId="10">#REF!</definedName>
    <definedName name="CASH2" localSheetId="10">#REF!</definedName>
    <definedName name="CC" localSheetId="10">#REF!</definedName>
    <definedName name="CF" localSheetId="10">#REF!</definedName>
    <definedName name="CF_PRESENTATION" localSheetId="10">#REF!</definedName>
    <definedName name="CGS" localSheetId="10">#REF!</definedName>
    <definedName name="CHARTASSET" localSheetId="10">#REF!</definedName>
    <definedName name="CHARTINCOME" localSheetId="10">#REF!</definedName>
    <definedName name="CLEAN_LIST" localSheetId="10">#REF!</definedName>
    <definedName name="CLEAN_LOOP" localSheetId="10">#REF!</definedName>
    <definedName name="COMPANY" localSheetId="10">#REF!</definedName>
    <definedName name="CONTENT" localSheetId="10">#REF!</definedName>
    <definedName name="CORSCORP" localSheetId="10">#REF!</definedName>
    <definedName name="COUNTER" localSheetId="10">#REF!</definedName>
    <definedName name="csDesignMode">1</definedName>
    <definedName name="CURASSET" localSheetId="10">#REF!</definedName>
    <definedName name="CURLIABIL" localSheetId="10">#REF!</definedName>
    <definedName name="CURR_SCEN" localSheetId="10">#REF!</definedName>
    <definedName name="D_VERSIONS" localSheetId="10">#REF!</definedName>
    <definedName name="DATA" localSheetId="10">#REF!</definedName>
    <definedName name="DATA_01" localSheetId="10">#REF!</definedName>
    <definedName name="DATA_02" localSheetId="10">#REF!</definedName>
    <definedName name="DATA_03" localSheetId="10">#REF!</definedName>
    <definedName name="DATA_04" localSheetId="10">#REF!</definedName>
    <definedName name="DATA_05" localSheetId="10">#REF!</definedName>
    <definedName name="DATA_06" localSheetId="10">#REF!</definedName>
    <definedName name="DATA_07" localSheetId="10">#REF!</definedName>
    <definedName name="DATA_08" localSheetId="10">#REF!</definedName>
    <definedName name="DATA_09" localSheetId="10">#REF!</definedName>
    <definedName name="DATA_10" localSheetId="10">#REF!</definedName>
    <definedName name="DATA_11" localSheetId="10">#REF!</definedName>
    <definedName name="DATA_12" localSheetId="10">#REF!</definedName>
    <definedName name="DATA_13" localSheetId="10">#REF!</definedName>
    <definedName name="DATA_14" localSheetId="10">#REF!</definedName>
    <definedName name="DATA_15" localSheetId="10">#REF!</definedName>
    <definedName name="DATA_16" localSheetId="10">#REF!</definedName>
    <definedName name="DATA_17" localSheetId="10">#REF!</definedName>
    <definedName name="DATA_18" localSheetId="10">#REF!</definedName>
    <definedName name="DATA_19" localSheetId="10">#REF!</definedName>
    <definedName name="DATA_20" localSheetId="10">#REF!</definedName>
    <definedName name="DATA_21" localSheetId="10">#REF!</definedName>
    <definedName name="DATA_22" localSheetId="10">#REF!</definedName>
    <definedName name="DATA_AREA" localSheetId="10">#REF!</definedName>
    <definedName name="DATA_B3" localSheetId="10">#REF!</definedName>
    <definedName name="dec" localSheetId="10">#REF!</definedName>
    <definedName name="DEF" localSheetId="10">#REF!</definedName>
    <definedName name="DEF_ADDRESS1" localSheetId="10">#REF!</definedName>
    <definedName name="DEF_ADDRESS2" localSheetId="10">#REF!</definedName>
    <definedName name="DEF_ADDRESS3" localSheetId="10">#REF!</definedName>
    <definedName name="DEF_ADDRESS4" localSheetId="10">#REF!</definedName>
    <definedName name="DEF_COMPANY" localSheetId="10">#REF!</definedName>
    <definedName name="DEF_NAME" localSheetId="10">#REF!</definedName>
    <definedName name="DEF_TITLE" localSheetId="10">#REF!</definedName>
    <definedName name="DEFAULT?" localSheetId="10">#REF!</definedName>
    <definedName name="DEL_SCENARIO" localSheetId="10">#REF!</definedName>
    <definedName name="DIRECT_1A" localSheetId="10">#REF!</definedName>
    <definedName name="DIRECT_1B" localSheetId="10">#REF!</definedName>
    <definedName name="DIRECT_2" localSheetId="10">#REF!</definedName>
    <definedName name="DLG_DEFS" localSheetId="10">#REF!</definedName>
    <definedName name="DLG_INFOPRT" localSheetId="10">#REF!</definedName>
    <definedName name="DLG_KEEPDATA" localSheetId="10">#REF!</definedName>
    <definedName name="DLG_KHELP" localSheetId="10">#REF!</definedName>
    <definedName name="DLG_OK" localSheetId="10">#REF!</definedName>
    <definedName name="DLG_PERSONALIZE" localSheetId="10">#REF!</definedName>
    <definedName name="DLG_RESPS" localSheetId="10">#REF!</definedName>
    <definedName name="DLG_SAMPLE1" localSheetId="10">#REF!</definedName>
    <definedName name="DLG_SAMPLE2" localSheetId="10">#REF!</definedName>
    <definedName name="DLG_SWAPDATA" localSheetId="10">#REF!</definedName>
    <definedName name="DLG_UPDDATA" localSheetId="10">#REF!</definedName>
    <definedName name="DLG_UPDSC" localSheetId="10">#REF!</definedName>
    <definedName name="DLG_UPDUN" localSheetId="10">#REF!</definedName>
    <definedName name="END_COL" localSheetId="10">#REF!</definedName>
    <definedName name="END_ROW" localSheetId="10">#REF!</definedName>
    <definedName name="EQUITY" localSheetId="10">#REF!</definedName>
    <definedName name="feb" localSheetId="10">#REF!</definedName>
    <definedName name="FRM_UPDSC" localSheetId="10">#REF!</definedName>
    <definedName name="G0HELP2" localSheetId="10">#REF!</definedName>
    <definedName name="GENLEDGER" localSheetId="10">#REF!</definedName>
    <definedName name="GET_PERS_INI" localSheetId="10">#REF!</definedName>
    <definedName name="GOABOUT" localSheetId="10">#REF!</definedName>
    <definedName name="GOABOUT2" localSheetId="10">#REF!</definedName>
    <definedName name="GOBALANCE" localSheetId="10">#REF!</definedName>
    <definedName name="GOCASH1" localSheetId="10">#REF!</definedName>
    <definedName name="GOCASH2" localSheetId="10">#REF!</definedName>
    <definedName name="GOCHARTASSET" localSheetId="10">#REF!</definedName>
    <definedName name="GOCHARTINCOME" localSheetId="10">#REF!</definedName>
    <definedName name="GOCONTENTS" localSheetId="10">#REF!</definedName>
    <definedName name="GODATA" localSheetId="10">#REF!</definedName>
    <definedName name="GODISCLAIMER" localSheetId="10">#REF!</definedName>
    <definedName name="GOFILE" localSheetId="10">#REF!</definedName>
    <definedName name="GOFORMULA" localSheetId="10">#REF!</definedName>
    <definedName name="GOHELP1" localSheetId="10">#REF!</definedName>
    <definedName name="GOHELP2" localSheetId="10">#REF!</definedName>
    <definedName name="GOINCOME" localSheetId="10">#REF!</definedName>
    <definedName name="GOINFO" localSheetId="10">#REF!</definedName>
    <definedName name="GOMACROTIPS" localSheetId="10">#REF!</definedName>
    <definedName name="GOOVERVIEW" localSheetId="10">#REF!</definedName>
    <definedName name="GORANGETABLE" localSheetId="10">#REF!</definedName>
    <definedName name="GOSTEPS1" localSheetId="10">#REF!</definedName>
    <definedName name="GOSTEPS2" localSheetId="10">#REF!</definedName>
    <definedName name="GOSTEPS3" localSheetId="10">#REF!</definedName>
    <definedName name="GOSTEPS4" localSheetId="10">#REF!</definedName>
    <definedName name="GOTIPS" localSheetId="10">#REF!</definedName>
    <definedName name="GPI_SORRY_OK" localSheetId="10">#REF!</definedName>
    <definedName name="HEADCOUNT_1" localSheetId="10">#REF!</definedName>
    <definedName name="HEADCOUNT_2" localSheetId="10">#REF!</definedName>
    <definedName name="HIGHLIGHTS" localSheetId="10">#REF!</definedName>
    <definedName name="INCOME" localSheetId="10">#REF!</definedName>
    <definedName name="INCOME_AREA" localSheetId="10">#REF!</definedName>
    <definedName name="INCOME_B1" localSheetId="10">#REF!</definedName>
    <definedName name="INCOME1" localSheetId="10">#REF!</definedName>
    <definedName name="INCOMEB4" localSheetId="10">#REF!</definedName>
    <definedName name="INFO_CURR_PRT" localSheetId="10">#REF!</definedName>
    <definedName name="INFO_LIST" localSheetId="10">#REF!</definedName>
    <definedName name="INFO_PRINT" localSheetId="10">#REF!</definedName>
    <definedName name="INFO_TOPIC" localSheetId="10">#REF!</definedName>
    <definedName name="INI" localSheetId="10">#REF!</definedName>
    <definedName name="INISECT" localSheetId="10">#REF!</definedName>
    <definedName name="INTEREST" localSheetId="10">#REF!</definedName>
    <definedName name="INVENT" localSheetId="10">#REF!</definedName>
    <definedName name="jan" localSheetId="10">#REF!</definedName>
    <definedName name="july" localSheetId="10">#REF!</definedName>
    <definedName name="june" localSheetId="10">#REF!</definedName>
    <definedName name="K_EXISTS" localSheetId="10">#REF!</definedName>
    <definedName name="K_HELP" localSheetId="10">#REF!</definedName>
    <definedName name="K_LIMIT" localSheetId="10">#REF!</definedName>
    <definedName name="K_UPDATE" localSheetId="10">#REF!</definedName>
    <definedName name="K_VERSIONS" localSheetId="10">#REF!</definedName>
    <definedName name="KEEPDATA" localSheetId="10">#REF!</definedName>
    <definedName name="LIAB_EQU" localSheetId="10">#REF!</definedName>
    <definedName name="LIABILITIES" localSheetId="10">#REF!</definedName>
    <definedName name="LIST_ADDR" localSheetId="10">#REF!</definedName>
    <definedName name="LIST_RNG" localSheetId="10">#REF!</definedName>
    <definedName name="MACRORNG" localSheetId="10">#REF!</definedName>
    <definedName name="MACROS_HIDE" localSheetId="10">#REF!</definedName>
    <definedName name="MACROS_UNHIDE" localSheetId="10">#REF!</definedName>
    <definedName name="MACROSRNG" localSheetId="10">#REF!</definedName>
    <definedName name="MAKE_DEFAULT" localSheetId="10">#REF!</definedName>
    <definedName name="march" localSheetId="10">#REF!</definedName>
    <definedName name="may" localSheetId="10">#REF!</definedName>
    <definedName name="MD_SORRY_OK" localSheetId="10">#REF!</definedName>
    <definedName name="NAME" localSheetId="10">#REF!</definedName>
    <definedName name="NEXT_LET" localSheetId="10">#REF!</definedName>
    <definedName name="NEXT_LET2" localSheetId="10">#REF!</definedName>
    <definedName name="NEXT_ROW" localSheetId="10">#REF!</definedName>
    <definedName name="NO_UPDATE" localSheetId="10">#REF!</definedName>
    <definedName name="nov" localSheetId="10">#REF!</definedName>
    <definedName name="O_H" localSheetId="10">#REF!</definedName>
    <definedName name="oct" localSheetId="10">#REF!</definedName>
    <definedName name="PATH" localSheetId="10">#REF!</definedName>
    <definedName name="PERSONALIZE" localSheetId="10">#REF!</definedName>
    <definedName name="PG_NUM" localSheetId="10">#REF!</definedName>
    <definedName name="PL" localSheetId="10">#REF!</definedName>
    <definedName name="PL_PRESENTATION" localSheetId="10">#REF!</definedName>
    <definedName name="PREV_SCEN" localSheetId="10">#REF!</definedName>
    <definedName name="PringKASschedules" localSheetId="10">#REF!</definedName>
    <definedName name="Print" localSheetId="10">#REF!</definedName>
    <definedName name="PRINTBAL" localSheetId="10">#REF!</definedName>
    <definedName name="PRINTCASH" localSheetId="10">#REF!</definedName>
    <definedName name="PRINTDATA" localSheetId="10">#REF!</definedName>
    <definedName name="Printiasa4" localSheetId="10">#REF!</definedName>
    <definedName name="printIASschedules" localSheetId="10">#REF!</definedName>
    <definedName name="PrintIASscheduleson" localSheetId="10">#REF!</definedName>
    <definedName name="PRINTINC" localSheetId="10">#REF!</definedName>
    <definedName name="PrintKASschedules" localSheetId="10">#REF!</definedName>
    <definedName name="PRINTMACROS" localSheetId="10">#REF!</definedName>
    <definedName name="PRINTSTEPS2" localSheetId="10">#REF!</definedName>
    <definedName name="PRODCOST" localSheetId="10">#REF!</definedName>
    <definedName name="PRT_CHART1" localSheetId="10">#REF!</definedName>
    <definedName name="PRT_CHART2" localSheetId="10">#REF!</definedName>
    <definedName name="PRT_IT" localSheetId="10">#REF!</definedName>
    <definedName name="PRT_RPT" localSheetId="10">#REF!</definedName>
    <definedName name="RANGETABLE" localSheetId="10">#REF!</definedName>
    <definedName name="RES" localSheetId="10">#REF!</definedName>
    <definedName name="RES_INFOPRT" localSheetId="10">#REF!</definedName>
    <definedName name="RES_KEEPDATA" localSheetId="10">#REF!</definedName>
    <definedName name="RES_SAMPLE1" localSheetId="10">#REF!</definedName>
    <definedName name="RES_SAMPLE2" localSheetId="10">#REF!</definedName>
    <definedName name="RES_SWAPDATA" localSheetId="10">#REF!</definedName>
    <definedName name="RES_UPDDATA" localSheetId="10">#REF!</definedName>
    <definedName name="RES_UPDSC" localSheetId="10">#REF!</definedName>
    <definedName name="RES_UPDUN" localSheetId="10">#REF!</definedName>
    <definedName name="RESET" localSheetId="10">#REF!</definedName>
    <definedName name="RET_DIR" localSheetId="10">#REF!</definedName>
    <definedName name="RET_LOC" localSheetId="10">#REF!</definedName>
    <definedName name="RET_LOC2" localSheetId="10">#REF!</definedName>
    <definedName name="RET_LOC3" localSheetId="10">#REF!</definedName>
    <definedName name="RET_LOC4" localSheetId="10">#REF!</definedName>
    <definedName name="RETURN1" localSheetId="10">#REF!</definedName>
    <definedName name="RETURN2" localSheetId="10">#REF!</definedName>
    <definedName name="RETURN3" localSheetId="10">#REF!</definedName>
    <definedName name="RETURN4" localSheetId="10">#REF!</definedName>
    <definedName name="RNG_NAME" localSheetId="10">#REF!</definedName>
    <definedName name="RNG_NUM" localSheetId="10">#REF!</definedName>
    <definedName name="RPT_CHART1" localSheetId="10">#REF!</definedName>
    <definedName name="RPT_CHART2" localSheetId="10">#REF!</definedName>
    <definedName name="RPT_RANGE" localSheetId="10">#REF!</definedName>
    <definedName name="RPT_TITLES" localSheetId="10">#REF!</definedName>
    <definedName name="SALES" localSheetId="10">#REF!</definedName>
    <definedName name="SAMP_RESTORE" localSheetId="10">#REF!</definedName>
    <definedName name="SAMPDATA" localSheetId="10">#REF!</definedName>
    <definedName name="SCENARIO_LIST" localSheetId="10">#REF!</definedName>
    <definedName name="sep" localSheetId="10">#REF!</definedName>
    <definedName name="SORRY" localSheetId="10">#REF!</definedName>
    <definedName name="STATE" localSheetId="10">#REF!</definedName>
    <definedName name="SWAPDATA" localSheetId="10">#REF!</definedName>
    <definedName name="TAB1" localSheetId="10">#REF!</definedName>
    <definedName name="TAB2" localSheetId="10">#REF!</definedName>
    <definedName name="TAB3" localSheetId="10">#REF!</definedName>
    <definedName name="TAB4" localSheetId="10">#REF!</definedName>
    <definedName name="TAB5" localSheetId="10">#REF!</definedName>
    <definedName name="TITLE" localSheetId="10">#REF!</definedName>
    <definedName name="UP_EXISTING" localSheetId="10">#REF!</definedName>
    <definedName name="UP_UNNAMED" localSheetId="10">#REF!</definedName>
    <definedName name="UPDATE" localSheetId="10">#REF!</definedName>
    <definedName name="UPDATE_LIST" localSheetId="10">#REF!</definedName>
    <definedName name="UPDATE_LOOP" localSheetId="10">#REF!</definedName>
    <definedName name="UPDATE_POST" localSheetId="10">#REF!</definedName>
    <definedName name="UPDATE_TEST" localSheetId="10">#REF!</definedName>
    <definedName name="UPDUN" localSheetId="10">#REF!</definedName>
    <definedName name="UPPER_LEFT" localSheetId="10">#REF!</definedName>
    <definedName name="WIDTH" localSheetId="10">#REF!</definedName>
    <definedName name="WILL_BE_DEFAULT" localSheetId="10">#REF!</definedName>
    <definedName name="XBONE" localSheetId="10">#REF!</definedName>
    <definedName name="XBSEVEN" localSheetId="10">#REF!</definedName>
    <definedName name="XBSIX" localSheetId="10">#REF!</definedName>
    <definedName name="XBTEN" localSheetId="10">#REF!</definedName>
    <definedName name="XBTHIRTEEN" localSheetId="10">#REF!</definedName>
    <definedName name="XBTHREE" localSheetId="10">#REF!</definedName>
    <definedName name="XBTWELVE" localSheetId="10">#REF!</definedName>
    <definedName name="XBTWO" localSheetId="10">#REF!</definedName>
    <definedName name="XCONE" localSheetId="10">#REF!</definedName>
    <definedName name="XCTHREE" localSheetId="10">#REF!</definedName>
    <definedName name="XCTWO" localSheetId="10">#REF!</definedName>
    <definedName name="XNAME" localSheetId="10">#REF!</definedName>
    <definedName name="XPINSTRUCT" localSheetId="10">#REF!</definedName>
    <definedName name="YR" localSheetId="10">#REF!</definedName>
    <definedName name="yrtotal" localSheetId="10">#REF!</definedName>
    <definedName name="ZERO" localSheetId="10">#REF!</definedName>
    <definedName name="Аморт" localSheetId="10">#REF!</definedName>
    <definedName name="АмортОС" localSheetId="10">#REF!</definedName>
    <definedName name="Б110" localSheetId="10">#REF!</definedName>
    <definedName name="Б120" localSheetId="10">#REF!</definedName>
    <definedName name="Б123" localSheetId="10">#REF!</definedName>
    <definedName name="Б130" localSheetId="10">#REF!</definedName>
    <definedName name="Б140" localSheetId="10">#REF!</definedName>
    <definedName name="Б211" localSheetId="10">#REF!</definedName>
    <definedName name="Б212" localSheetId="10">#REF!</definedName>
    <definedName name="Б213" localSheetId="10">#REF!</definedName>
    <definedName name="Б214" localSheetId="10">#REF!</definedName>
    <definedName name="Б215" localSheetId="10">#REF!</definedName>
    <definedName name="Б216" localSheetId="10">#REF!</definedName>
    <definedName name="Б217" localSheetId="10">#REF!</definedName>
    <definedName name="Б218" localSheetId="10">#REF!</definedName>
    <definedName name="Б221" localSheetId="10">#REF!</definedName>
    <definedName name="Б222" localSheetId="10">#REF!</definedName>
    <definedName name="Б223" localSheetId="10">#REF!</definedName>
    <definedName name="Б224" localSheetId="10">#REF!</definedName>
    <definedName name="Б225" localSheetId="10">#REF!</definedName>
    <definedName name="Б226" localSheetId="10">#REF!</definedName>
    <definedName name="Б231" localSheetId="10">#REF!</definedName>
    <definedName name="Б232" localSheetId="10">#REF!</definedName>
    <definedName name="Б233" localSheetId="10">#REF!</definedName>
    <definedName name="Б234" localSheetId="10">#REF!</definedName>
    <definedName name="Б235" localSheetId="10">#REF!</definedName>
    <definedName name="Б236" localSheetId="10">#REF!</definedName>
    <definedName name="Б240" localSheetId="10">#REF!</definedName>
    <definedName name="Б250" localSheetId="10">#REF!</definedName>
    <definedName name="Б260" localSheetId="10">#REF!</definedName>
    <definedName name="Б390" localSheetId="10">#REF!</definedName>
    <definedName name="Б410" localSheetId="10">#REF!</definedName>
    <definedName name="Б420" localSheetId="10">#REF!</definedName>
    <definedName name="Б430" localSheetId="10">#REF!</definedName>
    <definedName name="Б440" localSheetId="10">#REF!</definedName>
    <definedName name="Б450" localSheetId="10">#REF!</definedName>
    <definedName name="Б460" localSheetId="10">#REF!</definedName>
    <definedName name="Б470" localSheetId="10">#REF!</definedName>
    <definedName name="Б480" localSheetId="10">#REF!</definedName>
    <definedName name="Б510" localSheetId="10">#REF!</definedName>
    <definedName name="Б513" localSheetId="10">#REF!</definedName>
    <definedName name="Б610" localSheetId="10">#REF!</definedName>
    <definedName name="Б621" localSheetId="10">#REF!</definedName>
    <definedName name="Б622" localSheetId="10">#REF!</definedName>
    <definedName name="Б623" localSheetId="10">#REF!</definedName>
    <definedName name="Б624" localSheetId="10">#REF!</definedName>
    <definedName name="Б625" localSheetId="10">#REF!</definedName>
    <definedName name="Б626" localSheetId="10">#REF!</definedName>
    <definedName name="Б627" localSheetId="10">#REF!</definedName>
    <definedName name="Б628" localSheetId="10">#REF!</definedName>
    <definedName name="Б630" localSheetId="10">#REF!</definedName>
    <definedName name="Б640" localSheetId="10">#REF!</definedName>
    <definedName name="Б650" localSheetId="10">#REF!</definedName>
    <definedName name="Б660" localSheetId="10">#REF!</definedName>
    <definedName name="Б670" localSheetId="10">#REF!</definedName>
    <definedName name="БА190" localSheetId="10">#REF!</definedName>
    <definedName name="БА290" localSheetId="10">#REF!</definedName>
    <definedName name="БА299" localSheetId="10">#REF!</definedName>
    <definedName name="БА310" localSheetId="10">#REF!</definedName>
    <definedName name="БА320" localSheetId="10">#REF!</definedName>
    <definedName name="БА330" localSheetId="10">#REF!</definedName>
    <definedName name="БА340" localSheetId="10">#REF!</definedName>
    <definedName name="БА350" localSheetId="10">#REF!</definedName>
    <definedName name="БА360" localSheetId="10">#REF!</definedName>
    <definedName name="БА370" localSheetId="10">#REF!</definedName>
    <definedName name="БА390" localSheetId="10">#REF!</definedName>
    <definedName name="БА410" localSheetId="10">#REF!</definedName>
    <definedName name="БА420" localSheetId="10">#REF!</definedName>
    <definedName name="БА421" localSheetId="10">#REF!</definedName>
    <definedName name="БА430" localSheetId="10">#REF!</definedName>
    <definedName name="БА440" localSheetId="10">#REF!</definedName>
    <definedName name="БА490" localSheetId="10">#REF!</definedName>
    <definedName name="БА499" localSheetId="10">#REF!</definedName>
    <definedName name="внереализационные_расходы" localSheetId="10">#REF!</definedName>
    <definedName name="Дата" localSheetId="10">#REF!</definedName>
    <definedName name="Двд" localSheetId="10">#REF!</definedName>
    <definedName name="ДискПотокДенСредств">#REF!</definedName>
    <definedName name="Договорылизинга" localSheetId="10">#REF!</definedName>
    <definedName name="Доход_за_квартал_на_1_вагон">#REF!</definedName>
    <definedName name="Доход_за_квартал_на_весь_парк">#REF!</definedName>
    <definedName name="Доходы" localSheetId="10">#REF!</definedName>
    <definedName name="Доходы">#REF!</definedName>
    <definedName name="ЕдИзм" localSheetId="10">#REF!</definedName>
    <definedName name="_xlnm.Print_Titles" localSheetId="10">'Кредиторы'!$11:$11</definedName>
    <definedName name="Задолженность_по_кредиту" localSheetId="10">#REF!</definedName>
    <definedName name="зарплата" localSheetId="10">#REF!</definedName>
    <definedName name="избыток_средств_используется_на" localSheetId="10">#REF!</definedName>
    <definedName name="издержкипореализации" localSheetId="10">#REF!</definedName>
    <definedName name="ИзносМБП" localSheetId="10">#REF!</definedName>
    <definedName name="ИзносНА" localSheetId="10">#REF!</definedName>
    <definedName name="ИзносОС" localSheetId="10">#REF!</definedName>
    <definedName name="Капитальныезатраты" localSheetId="10">#REF!</definedName>
    <definedName name="Количество_вагонов_в_парке">#REF!</definedName>
    <definedName name="кредитом_на_капитальные_затраты" localSheetId="10">#REF!</definedName>
    <definedName name="кредитом_на_оборотные_средства" localSheetId="10">#REF!</definedName>
    <definedName name="КумДискПотокДенСредств">#REF!</definedName>
    <definedName name="Курс96" localSheetId="10">#REF!</definedName>
    <definedName name="Лизинг1996г" localSheetId="10">#REF!</definedName>
    <definedName name="лизинг1997г" localSheetId="10">#REF!</definedName>
    <definedName name="Лизинговый_платеж">#REF!</definedName>
    <definedName name="Накопленный_остаток_в_обороте" localSheetId="10">#REF!</definedName>
    <definedName name="Налог_на_имущество">#REF!</definedName>
    <definedName name="налоги" localSheetId="10">#REF!</definedName>
    <definedName name="Недостаток_избыток__капитала" localSheetId="10">#REF!</definedName>
    <definedName name="недостаток_покрывается" localSheetId="10">#REF!</definedName>
    <definedName name="номернаяемкость" localSheetId="10">#REF!</definedName>
    <definedName name="_xlnm.Print_Area" localSheetId="10">'Кредиторы'!$A$3:$O$120</definedName>
    <definedName name="_xlnm.Print_Area" localSheetId="1">'Справочники'!$A$2:$I$53</definedName>
    <definedName name="Оборотныесредства" localSheetId="10">#REF!</definedName>
    <definedName name="оснащениебазовыхстанций" localSheetId="10">#REF!</definedName>
    <definedName name="остаток_средств_в_обороте" localSheetId="10">#REF!</definedName>
    <definedName name="Отчет" localSheetId="10">#REF!</definedName>
    <definedName name="план05" localSheetId="10">#REF!</definedName>
    <definedName name="план06" localSheetId="10">#REF!</definedName>
    <definedName name="по_капитальным_затратам" localSheetId="10">#REF!</definedName>
    <definedName name="по_оборотным_средствам" localSheetId="10">#REF!</definedName>
    <definedName name="погашение_основного_долга_по_кап.затратам" localSheetId="10">#REF!</definedName>
    <definedName name="погашение_основного_долга_по_об.средствам" localSheetId="10">#REF!</definedName>
    <definedName name="покупкателефонов" localSheetId="10">#REF!</definedName>
    <definedName name="Прибыль_до_налогообложения_поквартально">#REF!</definedName>
    <definedName name="Прибыль_после_налогообложения_накопленным_итогом">#REF!</definedName>
    <definedName name="Прибыль_после_налогообложения_поквартально">#REF!</definedName>
    <definedName name="приобретениеосновныхсредств" localSheetId="10">#REF!</definedName>
    <definedName name="ПриРеин" localSheetId="10">#REF!</definedName>
    <definedName name="ПриЧист" localSheetId="10">#REF!</definedName>
    <definedName name="продажааппаратов" localSheetId="10">#REF!</definedName>
    <definedName name="проектныеработы" localSheetId="10">#REF!</definedName>
    <definedName name="проценты_Банку_за_Гарантию" localSheetId="10">#REF!</definedName>
    <definedName name="проценты_за_кредит" localSheetId="10">#REF!</definedName>
    <definedName name="ПроцУпл" localSheetId="10">#REF!</definedName>
    <definedName name="прочее" localSheetId="10">#REF!</definedName>
    <definedName name="разрешениягосструктур" localSheetId="10">#REF!</definedName>
    <definedName name="РасхКом" localSheetId="10">#REF!</definedName>
    <definedName name="Расходы" localSheetId="10">#REF!</definedName>
    <definedName name="Расходы">#REF!</definedName>
    <definedName name="Расходы_за_квартал_на_1_вагон">#REF!</definedName>
    <definedName name="Расходы_за_квартал_на_весь_парк">#REF!</definedName>
    <definedName name="Расходы_на_содержание">#REF!</definedName>
    <definedName name="Расходы_на_эксплуатацию">#REF!</definedName>
    <definedName name="расходы_по_содержанию_офиса" localSheetId="10">#REF!</definedName>
    <definedName name="РасхУпр" localSheetId="10">#REF!</definedName>
    <definedName name="СебРеал" localSheetId="10">#REF!</definedName>
    <definedName name="собственными_средствами" localSheetId="10">#REF!</definedName>
    <definedName name="содержание_базовых_станций" localSheetId="10">#REF!</definedName>
    <definedName name="Справочник_затраты">'Справочники'!$B$50:$E$140</definedName>
    <definedName name="Ставка_дисконтирования">#REF!</definedName>
    <definedName name="таможенныерасходы" localSheetId="10">#REF!</definedName>
    <definedName name="услуги_сотовой_связи" localSheetId="10">#REF!</definedName>
    <definedName name="Ф010" localSheetId="10">#REF!</definedName>
    <definedName name="Ф020" localSheetId="10">#REF!</definedName>
    <definedName name="Ф030" localSheetId="10">#REF!</definedName>
    <definedName name="Ф040" localSheetId="10">#REF!</definedName>
    <definedName name="Ф060" localSheetId="10">#REF!</definedName>
    <definedName name="Ф070" localSheetId="10">#REF!</definedName>
    <definedName name="Ф080" localSheetId="10">#REF!</definedName>
    <definedName name="Ф090" localSheetId="10">#REF!</definedName>
    <definedName name="Ф100" localSheetId="10">#REF!</definedName>
    <definedName name="Ф120" localSheetId="10">#REF!</definedName>
    <definedName name="Ф130" localSheetId="10">#REF!</definedName>
    <definedName name="Ф150" localSheetId="10">#REF!</definedName>
    <definedName name="факт04" localSheetId="10">#REF!</definedName>
    <definedName name="факт05" localSheetId="10">#REF!</definedName>
    <definedName name="факт06" localSheetId="10">#REF!</definedName>
    <definedName name="янв_98" localSheetId="10">#REF!</definedName>
  </definedNames>
  <calcPr fullCalcOnLoad="1"/>
</workbook>
</file>

<file path=xl/comments1.xml><?xml version="1.0" encoding="utf-8"?>
<comments xmlns="http://schemas.openxmlformats.org/spreadsheetml/2006/main">
  <authors>
    <author>Ивлев Сергей</author>
  </authors>
  <commentList>
    <comment ref="C13" authorId="0">
      <text>
        <r>
          <rPr>
            <b/>
            <sz val="8"/>
            <rFont val="Tahoma"/>
            <family val="0"/>
          </rPr>
          <t>Иевлев Сергей:</t>
        </r>
        <r>
          <rPr>
            <sz val="8"/>
            <rFont val="Tahoma"/>
            <family val="0"/>
          </rPr>
          <t xml:space="preserve">
Аппарат директора,
Финансовый отдел, 
Отдел развития бизнеса, АХО</t>
        </r>
      </text>
    </comment>
  </commentList>
</comments>
</file>

<file path=xl/comments13.xml><?xml version="1.0" encoding="utf-8"?>
<comments xmlns="http://schemas.openxmlformats.org/spreadsheetml/2006/main">
  <authors>
    <author>Ивлев Сергей</author>
  </authors>
  <commentList>
    <comment ref="B11" authorId="0">
      <text>
        <r>
          <rPr>
            <b/>
            <sz val="8"/>
            <rFont val="Tahoma"/>
            <family val="0"/>
          </rPr>
          <t>Иевлев Сергей:</t>
        </r>
        <r>
          <rPr>
            <sz val="8"/>
            <rFont val="Tahoma"/>
            <family val="0"/>
          </rPr>
          <t xml:space="preserve">
Пректно-изыскательские работы направленные на создание ОС</t>
        </r>
      </text>
    </comment>
  </commentList>
</comments>
</file>

<file path=xl/comments14.xml><?xml version="1.0" encoding="utf-8"?>
<comments xmlns="http://schemas.openxmlformats.org/spreadsheetml/2006/main">
  <authors>
    <author>Kabanov</author>
  </authors>
  <commentList>
    <comment ref="B80" authorId="0">
      <text>
        <r>
          <rPr>
            <sz val="8"/>
            <rFont val="Tahoma"/>
            <family val="0"/>
          </rPr>
          <t>ежеквартальное начисление, уплата до 20 числа м-ца, следующего за отчетным кварталом</t>
        </r>
      </text>
    </comment>
  </commentList>
</comments>
</file>

<file path=xl/comments2.xml><?xml version="1.0" encoding="utf-8"?>
<comments xmlns="http://schemas.openxmlformats.org/spreadsheetml/2006/main">
  <authors>
    <author>Ievlev</author>
  </authors>
  <commentList>
    <comment ref="D66" authorId="0">
      <text>
        <r>
          <rPr>
            <b/>
            <sz val="8"/>
            <rFont val="Tahoma"/>
            <family val="0"/>
          </rPr>
          <t>Ievlev:</t>
        </r>
        <r>
          <rPr>
            <sz val="8"/>
            <rFont val="Tahoma"/>
            <family val="0"/>
          </rPr>
          <t xml:space="preserve">
Окладная часть</t>
        </r>
      </text>
    </comment>
    <comment ref="D67" authorId="0">
      <text>
        <r>
          <rPr>
            <b/>
            <sz val="8"/>
            <rFont val="Tahoma"/>
            <family val="0"/>
          </rPr>
          <t>Ievlev:</t>
        </r>
        <r>
          <rPr>
            <sz val="8"/>
            <rFont val="Tahoma"/>
            <family val="0"/>
          </rPr>
          <t xml:space="preserve">
Премиальная часть</t>
        </r>
      </text>
    </comment>
  </commentList>
</comments>
</file>

<file path=xl/comments20.xml><?xml version="1.0" encoding="utf-8"?>
<comments xmlns="http://schemas.openxmlformats.org/spreadsheetml/2006/main">
  <authors>
    <author>Сергей Иевлев</author>
  </authors>
  <commentList>
    <comment ref="B69" authorId="0">
      <text>
        <r>
          <rPr>
            <b/>
            <sz val="8"/>
            <rFont val="Tahoma"/>
            <family val="0"/>
          </rPr>
          <t>Сергей Иевлев:</t>
        </r>
        <r>
          <rPr>
            <sz val="8"/>
            <rFont val="Tahoma"/>
            <family val="0"/>
          </rPr>
          <t xml:space="preserve">
Позволяет измерить операционную эффективность департамента продаж. </t>
        </r>
      </text>
    </comment>
    <comment ref="B70" authorId="0">
      <text>
        <r>
          <rPr>
            <b/>
            <sz val="8"/>
            <rFont val="Tahoma"/>
            <family val="0"/>
          </rPr>
          <t>Сергей Иевлев:</t>
        </r>
        <r>
          <rPr>
            <sz val="8"/>
            <rFont val="Tahoma"/>
            <family val="0"/>
          </rPr>
          <t xml:space="preserve">
Показывает прибыль на инвестиции акционеров, т.е. сколько денежных единиц чистой прибыли заработала каждая денежная единица, вложенная собственником. Позволяет определить эффективность использования собственного капитала, инвестированного собственниками, и сравнить этот показатель с возможным получением дохода от вложения этих средств в другие направления.</t>
        </r>
      </text>
    </comment>
    <comment ref="B71" authorId="0">
      <text>
        <r>
          <rPr>
            <b/>
            <sz val="8"/>
            <rFont val="Tahoma"/>
            <family val="0"/>
          </rPr>
          <t>Сергей Иевлев:</t>
        </r>
        <r>
          <rPr>
            <sz val="8"/>
            <rFont val="Tahoma"/>
            <family val="0"/>
          </rPr>
          <t xml:space="preserve">
Показывает, насколько текущие активы покрывают все краткосрочные обязательства</t>
        </r>
      </text>
    </comment>
    <comment ref="B72" authorId="0">
      <text>
        <r>
          <rPr>
            <b/>
            <sz val="8"/>
            <rFont val="Tahoma"/>
            <family val="0"/>
          </rPr>
          <t>Сергей Иевлев:</t>
        </r>
        <r>
          <rPr>
            <sz val="8"/>
            <rFont val="Tahoma"/>
            <family val="0"/>
          </rPr>
          <t xml:space="preserve">
Показывает, насколько наиболее ликвидная часть текущих активов  покрывает все краткосрочные обязательства</t>
        </r>
      </text>
    </comment>
  </commentList>
</comments>
</file>

<file path=xl/comments23.xml><?xml version="1.0" encoding="utf-8"?>
<comments xmlns="http://schemas.openxmlformats.org/spreadsheetml/2006/main">
  <authors>
    <author>Ивлев Сергей</author>
  </authors>
  <commentList>
    <comment ref="B10" authorId="0">
      <text>
        <r>
          <rPr>
            <b/>
            <sz val="8"/>
            <rFont val="Tahoma"/>
            <family val="0"/>
          </rPr>
          <t>Иевлев Сергей:</t>
        </r>
        <r>
          <rPr>
            <sz val="8"/>
            <rFont val="Tahoma"/>
            <family val="0"/>
          </rPr>
          <t xml:space="preserve">
По 2009 год</t>
        </r>
      </text>
    </comment>
  </commentList>
</comments>
</file>

<file path=xl/comments3.xml><?xml version="1.0" encoding="utf-8"?>
<comments xmlns="http://schemas.openxmlformats.org/spreadsheetml/2006/main">
  <authors>
    <author>Ивлев Сергей</author>
  </authors>
  <commentList>
    <comment ref="B30" authorId="0">
      <text>
        <r>
          <rPr>
            <b/>
            <sz val="8"/>
            <rFont val="Tahoma"/>
            <family val="0"/>
          </rPr>
          <t>Иевлев Сергей:</t>
        </r>
        <r>
          <rPr>
            <sz val="8"/>
            <rFont val="Tahoma"/>
            <family val="0"/>
          </rPr>
          <t xml:space="preserve">
Расчет стоимости производится в листе 
стоимость компании</t>
        </r>
      </text>
    </comment>
  </commentList>
</comments>
</file>

<file path=xl/comments5.xml><?xml version="1.0" encoding="utf-8"?>
<comments xmlns="http://schemas.openxmlformats.org/spreadsheetml/2006/main">
  <authors>
    <author>Ивлев Сергей</author>
  </authors>
  <commentList>
    <comment ref="C14" authorId="0">
      <text>
        <r>
          <rPr>
            <b/>
            <sz val="8"/>
            <rFont val="Tahoma"/>
            <family val="0"/>
          </rPr>
          <t>Иевлев Сергей:</t>
        </r>
        <r>
          <rPr>
            <sz val="8"/>
            <rFont val="Tahoma"/>
            <family val="0"/>
          </rPr>
          <t xml:space="preserve">
В соответствии с желаемым нормативом 
складского остатка</t>
        </r>
      </text>
    </comment>
  </commentList>
</comments>
</file>

<file path=xl/sharedStrings.xml><?xml version="1.0" encoding="utf-8"?>
<sst xmlns="http://schemas.openxmlformats.org/spreadsheetml/2006/main" count="1863" uniqueCount="802">
  <si>
    <t>4.0.0</t>
  </si>
  <si>
    <t>4.1.0</t>
  </si>
  <si>
    <t>4.2.0</t>
  </si>
  <si>
    <t>НЕОПЕРАЦИОННЫЕ РАСХОДЫ</t>
  </si>
  <si>
    <t>2.1</t>
  </si>
  <si>
    <t>2.2</t>
  </si>
  <si>
    <t>2.3</t>
  </si>
  <si>
    <t>2.2.4</t>
  </si>
  <si>
    <t>2.1.12</t>
  </si>
  <si>
    <t xml:space="preserve">Прочие услуги </t>
  </si>
  <si>
    <t xml:space="preserve">Авансы полученные от покупателей </t>
  </si>
  <si>
    <t>2.10.0</t>
  </si>
  <si>
    <t>Содержание модели бизнес-планирования</t>
  </si>
  <si>
    <t>Товары для перепродажи</t>
  </si>
  <si>
    <t xml:space="preserve">Расчет амортизационных отчислений </t>
  </si>
  <si>
    <t xml:space="preserve">Бюджет финансовой деятельности </t>
  </si>
  <si>
    <t xml:space="preserve">Прогнозный баланс </t>
  </si>
  <si>
    <t>Расчет амортизационных отчислений</t>
  </si>
  <si>
    <t xml:space="preserve">Бюджет инвестиций </t>
  </si>
  <si>
    <t xml:space="preserve">Неоп. Д.и Р. </t>
  </si>
  <si>
    <t>Неоперационные доходы и расходы</t>
  </si>
  <si>
    <t>Прогнозный баланс</t>
  </si>
  <si>
    <t>БФД</t>
  </si>
  <si>
    <t>Бюджет финансовой деятельности</t>
  </si>
  <si>
    <t>Дебиторы</t>
  </si>
  <si>
    <t>Кредиторы</t>
  </si>
  <si>
    <t>Подготовка графиков расчетов с покупателями товаров и услуг</t>
  </si>
  <si>
    <t>Подготовка графиков расчетов с поставщиками товаров и услуг</t>
  </si>
  <si>
    <t>Лист для заполнения</t>
  </si>
  <si>
    <t>НАКЛАДНЫЕ ЗАТРАТЫ</t>
  </si>
  <si>
    <t>СТРАТЕГИЧЕСКИЕ ПОКАЗАТЕЛИ ДЕЯТЕЛЬНОСТИ</t>
  </si>
  <si>
    <t>Наименование</t>
  </si>
  <si>
    <t>Ед. изм.</t>
  </si>
  <si>
    <t>Значение в Бизнес-плане</t>
  </si>
  <si>
    <t>1. Финансово-экономические показатели</t>
  </si>
  <si>
    <t>Стоимость бизнеса компании (капитализация)</t>
  </si>
  <si>
    <t>млн. $</t>
  </si>
  <si>
    <t>Доход от реализации (выручка по отгрузке)</t>
  </si>
  <si>
    <t>Чистая прибыль</t>
  </si>
  <si>
    <t>Операционные затраты</t>
  </si>
  <si>
    <t>Рентабельность продаж или норма прибыли</t>
  </si>
  <si>
    <t>%</t>
  </si>
  <si>
    <t>Доходность (рентабельность) собственного капитала  (ROE)</t>
  </si>
  <si>
    <t>Экономическая добавленная стоимость (EVA)</t>
  </si>
  <si>
    <t>Производительность труда</t>
  </si>
  <si>
    <t>тыс. $ / сотруд.</t>
  </si>
  <si>
    <t>АНАЛИЗ ЭФФЕКТИВНОСТИ БИЗНЕС-ПЛАНА</t>
  </si>
  <si>
    <t>Период</t>
  </si>
  <si>
    <t>Дисконтированный СДП</t>
  </si>
  <si>
    <t>NPV по СДП</t>
  </si>
  <si>
    <t>IRR по СДП</t>
  </si>
  <si>
    <t>Объем инвестиций, общий</t>
  </si>
  <si>
    <t>за счет собственных средств</t>
  </si>
  <si>
    <t>за счет заемных средств</t>
  </si>
  <si>
    <t>Суммарные инвестиции в проект</t>
  </si>
  <si>
    <t>Дисконтированные инвестиции</t>
  </si>
  <si>
    <t>Совокупные активы</t>
  </si>
  <si>
    <t>Собственный капитал</t>
  </si>
  <si>
    <t>Заемный капитал</t>
  </si>
  <si>
    <t>Чистые активы</t>
  </si>
  <si>
    <t>Стоимость собственного капитала, % годовых</t>
  </si>
  <si>
    <t>Стоимость капитала</t>
  </si>
  <si>
    <t>Прибыль после налогообложения</t>
  </si>
  <si>
    <t>Реинвестированная прибыль</t>
  </si>
  <si>
    <t>Дисконтированная EVA</t>
  </si>
  <si>
    <t>EVA нарастающим итогом</t>
  </si>
  <si>
    <t>ОЦЕНКА СТОИМОСТИ КОМПАНИИ</t>
  </si>
  <si>
    <t xml:space="preserve">Сумма дисконтированного СДП </t>
  </si>
  <si>
    <t>Базовое\Итоговое значение</t>
  </si>
  <si>
    <t>Лимитный портфель автомобилей</t>
  </si>
  <si>
    <t>Итого (шт)</t>
  </si>
  <si>
    <t>Итого в стоимостном выражении</t>
  </si>
  <si>
    <t xml:space="preserve">Остаток задолженности на конец периода </t>
  </si>
  <si>
    <t>Сдельная оплата труда</t>
  </si>
  <si>
    <t xml:space="preserve">Услуги по охране  </t>
  </si>
  <si>
    <t>Материалы для службы охраны</t>
  </si>
  <si>
    <t>2.1.13</t>
  </si>
  <si>
    <t>Отгружено с НДС</t>
  </si>
  <si>
    <t>3.10.0</t>
  </si>
  <si>
    <t>Доходы от переоценки запасов</t>
  </si>
  <si>
    <t>ПОСТУПЛЕНИЯ</t>
  </si>
  <si>
    <t>ВЫПЛАТЫ</t>
  </si>
  <si>
    <t>ВЫПЛАТЫ, ВСЕГО</t>
  </si>
  <si>
    <t>НЕОПЕРАЦИОННЫЕ ПОСТУПЛЕНИЯ</t>
  </si>
  <si>
    <t>НЕОПЕРАЦИОННЫЕ ВЫПЛАТЫ</t>
  </si>
  <si>
    <t>Выплаты от реализации (выбытия) активов</t>
  </si>
  <si>
    <t>Поступления от реализации (выбытия) активов</t>
  </si>
  <si>
    <t>Эмиссия акций</t>
  </si>
  <si>
    <t>Прочие поступления от учредителей</t>
  </si>
  <si>
    <t>Поступления краткосрочных кредитов</t>
  </si>
  <si>
    <t>Поступления долгосрочных кредитов</t>
  </si>
  <si>
    <t>Поступления займов</t>
  </si>
  <si>
    <t>Поступления лизинговых кредитов</t>
  </si>
  <si>
    <t>Выкуп собственных акций</t>
  </si>
  <si>
    <t>Операционная прибыль до выплаты процентов и налогов в % от доходов</t>
  </si>
  <si>
    <t>Выплаты дивидендов</t>
  </si>
  <si>
    <t>Выплаты краткосрочных кредитов</t>
  </si>
  <si>
    <t>Выплаты долгосрочных кредитов</t>
  </si>
  <si>
    <t>Выплаты займов</t>
  </si>
  <si>
    <t>Погашение основной суммы долга по лизинговым платежам</t>
  </si>
  <si>
    <t>Размещение свободных ДС на депозитах</t>
  </si>
  <si>
    <t>Ставка амортизации НМА, %</t>
  </si>
  <si>
    <t>Наименования статей</t>
  </si>
  <si>
    <t>2.6.0</t>
  </si>
  <si>
    <t>2.6.1</t>
  </si>
  <si>
    <t>2.6.2</t>
  </si>
  <si>
    <t>2.6.3</t>
  </si>
  <si>
    <t>2.7.0</t>
  </si>
  <si>
    <t>2.7.1</t>
  </si>
  <si>
    <t>2.7.2</t>
  </si>
  <si>
    <t>2.8.0</t>
  </si>
  <si>
    <t>2.8.1</t>
  </si>
  <si>
    <t>2.8.2</t>
  </si>
  <si>
    <t>2.8.3</t>
  </si>
  <si>
    <t>2.8.4</t>
  </si>
  <si>
    <t>2.9.0</t>
  </si>
  <si>
    <t>2.9.1</t>
  </si>
  <si>
    <t>Вспом.</t>
  </si>
  <si>
    <t>2.9.2</t>
  </si>
  <si>
    <t>2.9.3</t>
  </si>
  <si>
    <t>2.9.4</t>
  </si>
  <si>
    <t>2.9.5</t>
  </si>
  <si>
    <t>2.9.6</t>
  </si>
  <si>
    <t>Терр. фонд обязат. мед. страхования</t>
  </si>
  <si>
    <t>Фед. фонд обязат. мед. страхования</t>
  </si>
  <si>
    <t>Разница (АКТИВЫ-ОБЯЗАТЕЛЬСТВА-СК)</t>
  </si>
  <si>
    <t>Лист</t>
  </si>
  <si>
    <t>Полное наименование</t>
  </si>
  <si>
    <t>Комментарии</t>
  </si>
  <si>
    <t>Вернуться к содержанию</t>
  </si>
  <si>
    <t>Базовое/ итоговое значение</t>
  </si>
  <si>
    <t>9. Ставки налогов</t>
  </si>
  <si>
    <t>Ставка налога на прибыль, %</t>
  </si>
  <si>
    <t>Ставка налога на добавленную стоимость (НДС), %</t>
  </si>
  <si>
    <t>1.6.0</t>
  </si>
  <si>
    <t>Возмещение НДС из бюджета</t>
  </si>
  <si>
    <t>2.9.7</t>
  </si>
  <si>
    <t>Курс доллара</t>
  </si>
  <si>
    <t>Налог на прибыль</t>
  </si>
  <si>
    <t>Операционная деятельность</t>
  </si>
  <si>
    <t>ПОСТУПЛЕНИЯ, ВСЕГО</t>
  </si>
  <si>
    <t>Выплаты</t>
  </si>
  <si>
    <t>Денежный поток по операционной деятельности</t>
  </si>
  <si>
    <t>Инвестиционная деятельность</t>
  </si>
  <si>
    <t>Аванс по лизингу</t>
  </si>
  <si>
    <t>Денежный поток по инвестиционной деятельности</t>
  </si>
  <si>
    <t>Свободный денежный поток</t>
  </si>
  <si>
    <t>Финансовая деятельность</t>
  </si>
  <si>
    <t>Увеличение собственного капитала</t>
  </si>
  <si>
    <t>Уменьшение собственного капитала</t>
  </si>
  <si>
    <t>Денежный поток по финансовой деятельности</t>
  </si>
  <si>
    <t>Совокупный денежный поток</t>
  </si>
  <si>
    <t>Кумулитивный денежный поток</t>
  </si>
  <si>
    <t>Остаток на начало периода</t>
  </si>
  <si>
    <t>Остаток на конец периода</t>
  </si>
  <si>
    <t>Окладная часть</t>
  </si>
  <si>
    <t>Изменение собственного капитала</t>
  </si>
  <si>
    <t>Наименования показателя</t>
  </si>
  <si>
    <t>Операционная прибыль до выплаты процентов и налогов в % от доходов (EBIT)</t>
  </si>
  <si>
    <t>Доходность совокупных активов (ROTA)</t>
  </si>
  <si>
    <t>Доходность собственного капитала (ROE)</t>
  </si>
  <si>
    <t>Коэффициент текущей ликвидности</t>
  </si>
  <si>
    <t>Коэффициент срочной ликвидности</t>
  </si>
  <si>
    <t>Остаток на начало</t>
  </si>
  <si>
    <t>Остаток на конец</t>
  </si>
  <si>
    <t>Краткосрочные кредиты банков</t>
  </si>
  <si>
    <t>Займы от нефинансовых организаций</t>
  </si>
  <si>
    <t>АКТИВЫ</t>
  </si>
  <si>
    <t>Амортизационные отчисления</t>
  </si>
  <si>
    <t>Начислено за период</t>
  </si>
  <si>
    <t>Остаточная стоимость ОС</t>
  </si>
  <si>
    <t>Отложенные налоговые требования по налогу на прибыль</t>
  </si>
  <si>
    <t>Денежные средства</t>
  </si>
  <si>
    <t>СОБСТВЕННЫЙ КАПИТАЛ</t>
  </si>
  <si>
    <t>Уставный капитал</t>
  </si>
  <si>
    <t>Добавочный капитал</t>
  </si>
  <si>
    <t>ГСМ</t>
  </si>
  <si>
    <t>Расходные материалы для компьютерной и офисной техники</t>
  </si>
  <si>
    <t>Запасные части для компьютерной и офисной техники</t>
  </si>
  <si>
    <t>Хозяйственный инвентарь</t>
  </si>
  <si>
    <t>Канцелярские товары</t>
  </si>
  <si>
    <t>Продукты питания</t>
  </si>
  <si>
    <t>Вода</t>
  </si>
  <si>
    <t>Прочие материалы</t>
  </si>
  <si>
    <t>Вознаграждение по итогам года</t>
  </si>
  <si>
    <t>Услуги почты</t>
  </si>
  <si>
    <t>Показатель</t>
  </si>
  <si>
    <t>ежеквартально</t>
  </si>
  <si>
    <t xml:space="preserve">Департамент продаж автомобилей </t>
  </si>
  <si>
    <t>Услуги связи</t>
  </si>
  <si>
    <t>связь мобильная</t>
  </si>
  <si>
    <t>связь стационарная</t>
  </si>
  <si>
    <t>Коммунальные услуги</t>
  </si>
  <si>
    <t>Аудиторские услуги</t>
  </si>
  <si>
    <t>Юридические услуги</t>
  </si>
  <si>
    <t>Консультационные услуги</t>
  </si>
  <si>
    <t>Услуги банка</t>
  </si>
  <si>
    <t>Нематериальные активы</t>
  </si>
  <si>
    <t>Прочие расходы</t>
  </si>
  <si>
    <t>Судебные расходы и арбитражные сборы</t>
  </si>
  <si>
    <t>Командировочные расходы</t>
  </si>
  <si>
    <t>Представительские расходы</t>
  </si>
  <si>
    <t>Абонентская плата за поддержку ИС</t>
  </si>
  <si>
    <t>Компенсация за использование личного транспорта</t>
  </si>
  <si>
    <t>Прочие</t>
  </si>
  <si>
    <t>Налоги и сборы</t>
  </si>
  <si>
    <t>Выплаты (НДС не обл.)</t>
  </si>
  <si>
    <t>Налог на доходы физических лиц (НДФЛ)</t>
  </si>
  <si>
    <t>Налог на имущество</t>
  </si>
  <si>
    <t>Налог с владельцев транспортных средств</t>
  </si>
  <si>
    <t>Налог на рекламу</t>
  </si>
  <si>
    <t>Налог на дивиденды</t>
  </si>
  <si>
    <t>Экспортные пошлины и сборы</t>
  </si>
  <si>
    <t>Прочие налоги и сборы</t>
  </si>
  <si>
    <t>Расходы на финансирование</t>
  </si>
  <si>
    <t>Материальные затраты</t>
  </si>
  <si>
    <t>Наименование статьи</t>
  </si>
  <si>
    <t>Итого</t>
  </si>
  <si>
    <t xml:space="preserve">Ответственное подразделение:     </t>
  </si>
  <si>
    <t xml:space="preserve">Срок предоставления:     </t>
  </si>
  <si>
    <t xml:space="preserve">Периодичность предоставления:     </t>
  </si>
  <si>
    <t>Аренда зданий и помещений</t>
  </si>
  <si>
    <t>Услуги сторонних организаций</t>
  </si>
  <si>
    <t>Поступления c НДС</t>
  </si>
  <si>
    <t>Распределение по статьям активов</t>
  </si>
  <si>
    <t xml:space="preserve"> -</t>
  </si>
  <si>
    <t>Первоначальная стоимость ОС</t>
  </si>
  <si>
    <t>Выбыло</t>
  </si>
  <si>
    <t>Накопленнный износ ОС</t>
  </si>
  <si>
    <t xml:space="preserve">Износ выбывших </t>
  </si>
  <si>
    <t>Первоначальная стоимость НМА</t>
  </si>
  <si>
    <t>Накопленнный износ НМА</t>
  </si>
  <si>
    <t>Остаточная стоимость НМА</t>
  </si>
  <si>
    <t>Справочно:</t>
  </si>
  <si>
    <t>Показатели</t>
  </si>
  <si>
    <t>Начислено расходов</t>
  </si>
  <si>
    <t>Рост (снижение) задолженности</t>
  </si>
  <si>
    <t>Расчеты с персоналом</t>
  </si>
  <si>
    <t>В том числе по статьям бюджета</t>
  </si>
  <si>
    <t xml:space="preserve">  </t>
  </si>
  <si>
    <t xml:space="preserve"># отсрочка оплаты, дней </t>
  </si>
  <si>
    <t>Начислено расходов с НДС</t>
  </si>
  <si>
    <t>Начислено расходов (НДС не обл.)</t>
  </si>
  <si>
    <t>17.  Инвестиции</t>
  </si>
  <si>
    <t>Единый социальный налог</t>
  </si>
  <si>
    <t>Пенсионный фонд</t>
  </si>
  <si>
    <t>План поступлений автомобилей на консигнационный склад</t>
  </si>
  <si>
    <t>Фонд социального страхования</t>
  </si>
  <si>
    <t>Ставки ЕСН в разбивке по фондам</t>
  </si>
  <si>
    <t>Расходы на оплату труда</t>
  </si>
  <si>
    <t>интернет</t>
  </si>
  <si>
    <t>Модель</t>
  </si>
  <si>
    <t>Налоговая база свыше 600 тыс. руб.</t>
  </si>
  <si>
    <t>Фед. фонд обязательного мед. страхования</t>
  </si>
  <si>
    <t>Терр. фонд обязательного мед. страхования</t>
  </si>
  <si>
    <t>Код статьи</t>
  </si>
  <si>
    <t>Подоходный налог, %</t>
  </si>
  <si>
    <t>Налог на имущество, %</t>
  </si>
  <si>
    <t>Налог на рекламу, %</t>
  </si>
  <si>
    <t>Налог на дивиденды, %</t>
  </si>
  <si>
    <t>МРОТ</t>
  </si>
  <si>
    <t>Остаток задолженности на конец периода</t>
  </si>
  <si>
    <t>Справочник валют</t>
  </si>
  <si>
    <t>№ п.п.</t>
  </si>
  <si>
    <t>Код</t>
  </si>
  <si>
    <t>Наименование валюты</t>
  </si>
  <si>
    <t>1</t>
  </si>
  <si>
    <t>2</t>
  </si>
  <si>
    <t>Доллар США</t>
  </si>
  <si>
    <t>3</t>
  </si>
  <si>
    <t>Евро</t>
  </si>
  <si>
    <t>4</t>
  </si>
  <si>
    <t>Английский фунт</t>
  </si>
  <si>
    <t>5</t>
  </si>
  <si>
    <t>Монгольские тугрики</t>
  </si>
  <si>
    <t>Строчка для вставки</t>
  </si>
  <si>
    <t>01</t>
  </si>
  <si>
    <t>02</t>
  </si>
  <si>
    <t>03</t>
  </si>
  <si>
    <t>04</t>
  </si>
  <si>
    <t>46</t>
  </si>
  <si>
    <t>47</t>
  </si>
  <si>
    <t>Прочие поступления</t>
  </si>
  <si>
    <t>ОПЕРАЦИОННАЯ ДЕЯТЕЛЬНОСТЬ</t>
  </si>
  <si>
    <t>ИНВЕСТИЦИОНАЯ И ФИНАНСОВАЯ ДЕЯТЕЛЬНОСТЬ</t>
  </si>
  <si>
    <t>Классификатор "Виды затрат и выплат"</t>
  </si>
  <si>
    <t>ДОХОДЫ</t>
  </si>
  <si>
    <t>ЗАТРАТЫ</t>
  </si>
  <si>
    <t>1.0.0</t>
  </si>
  <si>
    <t>1.1.0</t>
  </si>
  <si>
    <t>1.2.0</t>
  </si>
  <si>
    <t>1.3.0</t>
  </si>
  <si>
    <t>1.4.0</t>
  </si>
  <si>
    <t>1.5.0</t>
  </si>
  <si>
    <t>2.0.0</t>
  </si>
  <si>
    <t>2.1.0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</si>
  <si>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</si>
  <si>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</si>
  <si>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</si>
  <si>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</si>
  <si>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</si>
  <si>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</si>
  <si>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</si>
  <si>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</si>
  <si>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</si>
  <si>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Проценты по депозитам полученные</t>
  </si>
  <si>
    <t>2.1.10</t>
  </si>
  <si>
    <t>2.1.11</t>
  </si>
  <si>
    <t>2.2.0</t>
  </si>
  <si>
    <t>2.2.1</t>
  </si>
  <si>
    <t>2.2.2</t>
  </si>
  <si>
    <t>2.2.3</t>
  </si>
  <si>
    <t>2.3.0</t>
  </si>
  <si>
    <t>2.3.1</t>
  </si>
  <si>
    <t>2.3.2</t>
  </si>
  <si>
    <t>2.3.3</t>
  </si>
  <si>
    <t>2.3.4</t>
  </si>
  <si>
    <t>2.4.0</t>
  </si>
  <si>
    <t>2.4.1</t>
  </si>
  <si>
    <t>2.4.2</t>
  </si>
  <si>
    <t>2.5.0</t>
  </si>
  <si>
    <t>2.5.1</t>
  </si>
  <si>
    <t>2.5.2</t>
  </si>
  <si>
    <t>40</t>
  </si>
  <si>
    <t>41</t>
  </si>
  <si>
    <t>42</t>
  </si>
  <si>
    <t>43</t>
  </si>
  <si>
    <t>44</t>
  </si>
  <si>
    <t>45</t>
  </si>
  <si>
    <t>ЧИСТАЯ ПРИБЫЛЬ (Net profit)</t>
  </si>
  <si>
    <t>Операционная прибыль до выплаты процентов и налогов (EBIT)</t>
  </si>
  <si>
    <t>Социальные выплаты и льготы</t>
  </si>
  <si>
    <t>медицинская страховка сотрудников</t>
  </si>
  <si>
    <t xml:space="preserve">Российский рубль </t>
  </si>
  <si>
    <t>медицинская страховка членов семьи</t>
  </si>
  <si>
    <t>пользование общественным транспортом</t>
  </si>
  <si>
    <t>оплата питания</t>
  </si>
  <si>
    <t>материальная помощь к отпуску</t>
  </si>
  <si>
    <t>Корпоративные мероприятия</t>
  </si>
  <si>
    <t>дни рождения</t>
  </si>
  <si>
    <t>юбилеи</t>
  </si>
  <si>
    <t>корпоративные праздники</t>
  </si>
  <si>
    <t>Обучение и развитие персонала</t>
  </si>
  <si>
    <t>обучение в ВУЗах</t>
  </si>
  <si>
    <t>тренинги</t>
  </si>
  <si>
    <t>семинары</t>
  </si>
  <si>
    <t>курсы повышения квалификации</t>
  </si>
  <si>
    <t>Прочие расходы на персонал</t>
  </si>
  <si>
    <t>привлечение, увольнение, ротация персонала</t>
  </si>
  <si>
    <t>Прочие кредиторы (поставщики и подрядчики)</t>
  </si>
  <si>
    <t>в том числе:</t>
  </si>
  <si>
    <t>Проценты по депозитам начисленные</t>
  </si>
  <si>
    <t>3.3.0</t>
  </si>
  <si>
    <t>3.4.0</t>
  </si>
  <si>
    <t>3.5.0</t>
  </si>
  <si>
    <t>3.6.0</t>
  </si>
  <si>
    <t>3.7.0</t>
  </si>
  <si>
    <t>3.8.0</t>
  </si>
  <si>
    <t>3.9.0</t>
  </si>
  <si>
    <t>Поступления по финансовой деятельности</t>
  </si>
  <si>
    <t>Выплаты по финансовой деятельности</t>
  </si>
  <si>
    <t>4.3.0</t>
  </si>
  <si>
    <t>4.4.0</t>
  </si>
  <si>
    <t>4.5.0</t>
  </si>
  <si>
    <t>4.6.0</t>
  </si>
  <si>
    <t>4.7.0</t>
  </si>
  <si>
    <t>4.8.0</t>
  </si>
  <si>
    <t>4.9.0</t>
  </si>
  <si>
    <t>Направления инвестиций / 
статьи капитальных затрат</t>
  </si>
  <si>
    <t>Проектно-изыскательские работы</t>
  </si>
  <si>
    <t>Стоимость оборудования</t>
  </si>
  <si>
    <t>инженерное оборудование</t>
  </si>
  <si>
    <t>технологическое оборудование</t>
  </si>
  <si>
    <t>машины и механизмы</t>
  </si>
  <si>
    <t>6</t>
  </si>
  <si>
    <t>Шведская крона</t>
  </si>
  <si>
    <t>прочее оборудование</t>
  </si>
  <si>
    <t>Строительно-монтажные работы</t>
  </si>
  <si>
    <t>Прочие внеоборотные активы</t>
  </si>
  <si>
    <t>автомобильный транспорт</t>
  </si>
  <si>
    <t>компьютерная техника и АСУ</t>
  </si>
  <si>
    <t>прочие основные средства</t>
  </si>
  <si>
    <t>ВСЕГО инвестиции</t>
  </si>
  <si>
    <t>Незавершенные капвложения в сумме инвестиций текущего периода</t>
  </si>
  <si>
    <t>Ввод основных средств</t>
  </si>
  <si>
    <t>Ввод основных средств в сумме инвестиций текущего периода</t>
  </si>
  <si>
    <t>Незавершенные капитальные вложения</t>
  </si>
  <si>
    <t>Введено новых</t>
  </si>
  <si>
    <t>Остаток денежных средств на начало периода</t>
  </si>
  <si>
    <t>Остаток денежных средств на конец периода</t>
  </si>
  <si>
    <t>Операционная прибыль до выплаты налогов</t>
  </si>
  <si>
    <t>Все используемые в настоящей модели справочники</t>
  </si>
  <si>
    <t>Справочники</t>
  </si>
  <si>
    <t>Расчет АМО</t>
  </si>
  <si>
    <t>Инвестиции</t>
  </si>
  <si>
    <t>Баланс</t>
  </si>
  <si>
    <t>НДС к возмещению из бюджета</t>
  </si>
  <si>
    <t>Товарно-материальные запасы</t>
  </si>
  <si>
    <t>НДС по приобретенным товарам и услугам</t>
  </si>
  <si>
    <t>Итого текущие активы</t>
  </si>
  <si>
    <t>Основные средства</t>
  </si>
  <si>
    <t xml:space="preserve">   Накопленный износ ОС (вычитается)</t>
  </si>
  <si>
    <t xml:space="preserve">   Накопленная амортизация (вычитается)</t>
  </si>
  <si>
    <t>Итого долгосрочные активы</t>
  </si>
  <si>
    <t>ОБЯЗАТЕЛЬСТВА И КАПИТАЛ</t>
  </si>
  <si>
    <t>Расчеты с бюджетом</t>
  </si>
  <si>
    <t>НДС в отгруженной но неоплаченной продукции</t>
  </si>
  <si>
    <t>Итого текущие обязательства</t>
  </si>
  <si>
    <t>Итого долгосрочные обязательства</t>
  </si>
  <si>
    <t>Итого собственный капитал</t>
  </si>
  <si>
    <t>Итого обязательства и капитал</t>
  </si>
  <si>
    <t>Классификатор "Статьи баланса"</t>
  </si>
  <si>
    <t>ТЕКУЩИЕ АКТИВЫ</t>
  </si>
  <si>
    <t>ДОЛГОСРОЧНЫЕ АКТИВЫ</t>
  </si>
  <si>
    <t>7.0.0</t>
  </si>
  <si>
    <t>7.1.0</t>
  </si>
  <si>
    <t>7.1.1</t>
  </si>
  <si>
    <t>7.1.2</t>
  </si>
  <si>
    <t>7.1.3</t>
  </si>
  <si>
    <t>Финансовые вложения</t>
  </si>
  <si>
    <t>Резерв на безнадежные долги</t>
  </si>
  <si>
    <t>7.1.4</t>
  </si>
  <si>
    <t>7.1.6</t>
  </si>
  <si>
    <t>Нераспределенная прибыль прошлых периодов</t>
  </si>
  <si>
    <t>Нераспределенная прибыль текущего периода</t>
  </si>
  <si>
    <t>7.1.7</t>
  </si>
  <si>
    <t>7.1.8</t>
  </si>
  <si>
    <t>7.1.9</t>
  </si>
  <si>
    <t>7.1.10</t>
  </si>
  <si>
    <t>7.2.0</t>
  </si>
  <si>
    <t>7.2.1</t>
  </si>
  <si>
    <t>7.2.2</t>
  </si>
  <si>
    <t>7.2.3</t>
  </si>
  <si>
    <t>7.2.4</t>
  </si>
  <si>
    <t>7.2.5</t>
  </si>
  <si>
    <t>8.0.0</t>
  </si>
  <si>
    <t>ТЕКУЩИЕ ОБЯЗАТЕЛЬСТВА</t>
  </si>
  <si>
    <t>8.1.0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</si>
  <si>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</si>
  <si>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</si>
  <si>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</si>
  <si>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</si>
  <si>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</si>
  <si>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</si>
  <si>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</si>
  <si>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</si>
  <si>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Краткосрочные займы</t>
  </si>
  <si>
    <t>Кредиторская задолженность по основной деятельности</t>
  </si>
  <si>
    <t>Расчеты по социальному страхованию</t>
  </si>
  <si>
    <t>ДОЛГОСРОЧНЫЕ ОБЯЗАТЕЛЬСТВА</t>
  </si>
  <si>
    <t>8.1.9</t>
  </si>
  <si>
    <t>8.2.0</t>
  </si>
  <si>
    <t>Расчеты по лизинговым кредитам</t>
  </si>
  <si>
    <t>Расчеты по долгосрочным кредитам</t>
  </si>
  <si>
    <t>8.2.1</t>
  </si>
  <si>
    <t>8.2.2</t>
  </si>
  <si>
    <t>Выплаты с НДС</t>
  </si>
  <si>
    <t>Инвестиционные выплаты</t>
  </si>
  <si>
    <t>4.12.0</t>
  </si>
  <si>
    <t>Привлечение кредитов и займов</t>
  </si>
  <si>
    <t>Размещение свободных денежных средств на депозит</t>
  </si>
  <si>
    <t>Проценты по краткосрочным кредитам банков начисленные</t>
  </si>
  <si>
    <t>Проценты по долгосрочным кредитам банков начисленные</t>
  </si>
  <si>
    <t>Проценты по займам начисленные</t>
  </si>
  <si>
    <t>Проценты по краткосрочным кредитам банков выплаченные</t>
  </si>
  <si>
    <t>Проценты по долгосрочным кредитам банков выплаченные</t>
  </si>
  <si>
    <t>Проценты по займам выплаченные</t>
  </si>
  <si>
    <t>8.3.0</t>
  </si>
  <si>
    <t>8.3.1</t>
  </si>
  <si>
    <t>8.3.2</t>
  </si>
  <si>
    <t>8.3.3</t>
  </si>
  <si>
    <t>8.3.4</t>
  </si>
  <si>
    <t>Итого активы</t>
  </si>
  <si>
    <t>Минус: оказанные услуги</t>
  </si>
  <si>
    <t>Авансы полученные от покупателей</t>
  </si>
  <si>
    <t xml:space="preserve">Остаток на начало </t>
  </si>
  <si>
    <t>График поступлений от покупателей и прогноз дебиторской задолженности</t>
  </si>
  <si>
    <t>Оказано услуг с НДС</t>
  </si>
  <si>
    <t>Реализация (выбытие) активов</t>
  </si>
  <si>
    <t>Расходы от реализации (выбытия) активов</t>
  </si>
  <si>
    <t>3.0.0</t>
  </si>
  <si>
    <t>НЕОПЕРАЦИОННЫЕ ДОХОДЫ</t>
  </si>
  <si>
    <t>3.1.0</t>
  </si>
  <si>
    <t>3.2.0</t>
  </si>
  <si>
    <t>Кредит 1</t>
  </si>
  <si>
    <t>Кредит 2</t>
  </si>
  <si>
    <t>Кредит 3</t>
  </si>
  <si>
    <t>в том числе :</t>
  </si>
  <si>
    <t>Займ 3</t>
  </si>
  <si>
    <t>Стратегия</t>
  </si>
  <si>
    <t>Анализ эффективности</t>
  </si>
  <si>
    <t>Стоимость компании</t>
  </si>
  <si>
    <t>Расчет стоимости компании</t>
  </si>
  <si>
    <t>Стратегические показатели деятельности</t>
  </si>
  <si>
    <t xml:space="preserve">График платежей кредиторам и прогноз кредиторской задолженности </t>
  </si>
  <si>
    <t xml:space="preserve">Бюджет неоперационных доходов и расходов </t>
  </si>
  <si>
    <t>Справочник видов продуктов</t>
  </si>
  <si>
    <t xml:space="preserve">Справочник рынков сбыта </t>
  </si>
  <si>
    <t>Европейская Россия</t>
  </si>
  <si>
    <t>Сибирь</t>
  </si>
  <si>
    <t>Дальний Восток</t>
  </si>
  <si>
    <t>Экспорт (СНГ и др.)</t>
  </si>
  <si>
    <t>План продаж</t>
  </si>
  <si>
    <t xml:space="preserve">Бюджет продаж по продуктам и рынкам сбыта </t>
  </si>
  <si>
    <t>Исходные внешние и внутренние параметры бизнес-плана</t>
  </si>
  <si>
    <t>Параметры</t>
  </si>
  <si>
    <t>1.7.0</t>
  </si>
  <si>
    <t>1.8.0</t>
  </si>
  <si>
    <t>1.9.0</t>
  </si>
  <si>
    <t>Авансовые поступления</t>
  </si>
  <si>
    <t>1.10.0</t>
  </si>
  <si>
    <t xml:space="preserve">Прочие доходы </t>
  </si>
  <si>
    <t>ПО</t>
  </si>
  <si>
    <t>Материалы на содержание и ремонт зданий и сооружений</t>
  </si>
  <si>
    <t>Материалы на содержание и ремонт транспортных средств</t>
  </si>
  <si>
    <t>Материалы на содержание и ремонт технол. оборудования</t>
  </si>
  <si>
    <t>Услуги по ремонту зданий и сооружений</t>
  </si>
  <si>
    <t>Услуги по ремонту транспортных средств</t>
  </si>
  <si>
    <t>Услуги по ремонту и обслуж. компьютерной и офисной техники</t>
  </si>
  <si>
    <t xml:space="preserve">Услуги по по таможенному оформлению </t>
  </si>
  <si>
    <t>Амортизация нематериальных активов</t>
  </si>
  <si>
    <t>2.6.4</t>
  </si>
  <si>
    <t>2.6.5</t>
  </si>
  <si>
    <t>2.6.6</t>
  </si>
  <si>
    <t>Электроэнергия</t>
  </si>
  <si>
    <t>2.7.3</t>
  </si>
  <si>
    <t>Налог на добавленную стоимость</t>
  </si>
  <si>
    <t>Государственные пошлины и сборы</t>
  </si>
  <si>
    <t>Экологические  сборы</t>
  </si>
  <si>
    <t>Социальные расходы и расходы на развитие персонала</t>
  </si>
  <si>
    <t>Агентские вознаграждения</t>
  </si>
  <si>
    <t>2.10.1</t>
  </si>
  <si>
    <t>2.10.2</t>
  </si>
  <si>
    <t>Коммерческий отдел</t>
  </si>
  <si>
    <t>Технический отдел</t>
  </si>
  <si>
    <t>Админ. управленческий  блок</t>
  </si>
  <si>
    <t>Специализированные комплексы</t>
  </si>
  <si>
    <t>Серверные решения</t>
  </si>
  <si>
    <t>Системы хранения данных</t>
  </si>
  <si>
    <t>Програмное обеспечение</t>
  </si>
  <si>
    <t>Услуги</t>
  </si>
  <si>
    <t>Маржинальная прибыль</t>
  </si>
  <si>
    <t>ПРЯМЫЕ ПЕРЕМЕННЫЕ РАСХОДЫ</t>
  </si>
  <si>
    <t>Доходы от продажи специализированных комплексов</t>
  </si>
  <si>
    <t>Доходы от продажи серверных решений</t>
  </si>
  <si>
    <t>Доходы от продажи систем хранения данных</t>
  </si>
  <si>
    <t>Доходы от продажи програмного обеспечения</t>
  </si>
  <si>
    <t>Доходы от продажи услуг</t>
  </si>
  <si>
    <t>Поступления от продажи специализированных комплексов</t>
  </si>
  <si>
    <t>Поступления от продажи серверных решений</t>
  </si>
  <si>
    <t>Поступления от продажи систем хранения данных</t>
  </si>
  <si>
    <t>Поступления от продажи програмного обеспечения</t>
  </si>
  <si>
    <t>Поступления от продажи услуг</t>
  </si>
  <si>
    <t>ДОХОДЫ, ВСЕГО</t>
  </si>
  <si>
    <t>Маржинальная прибыль в % от доходов</t>
  </si>
  <si>
    <t>Амортизация материальных активов</t>
  </si>
  <si>
    <t>Вклад на покрытие накладных затрат (ВП-0)</t>
  </si>
  <si>
    <t>"Железо"</t>
  </si>
  <si>
    <t>2.4.3</t>
  </si>
  <si>
    <t>2.4.4</t>
  </si>
  <si>
    <t>2.4.5</t>
  </si>
  <si>
    <t>2.4.6</t>
  </si>
  <si>
    <t>2.4.6.1</t>
  </si>
  <si>
    <t>2.4.6.2</t>
  </si>
  <si>
    <t>2.4.6.3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</si>
  <si>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</si>
  <si>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</si>
  <si>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</si>
  <si>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</si>
  <si>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</si>
  <si>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</si>
  <si>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</si>
  <si>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</si>
  <si>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</si>
  <si>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2.6.7</t>
  </si>
  <si>
    <t>2.6.8</t>
  </si>
  <si>
    <t>2.6.9</t>
  </si>
  <si>
    <t>2.6.10</t>
  </si>
  <si>
    <t>2.6.11</t>
  </si>
  <si>
    <t>2.8.1.1</t>
  </si>
  <si>
    <t>2.8.1.2</t>
  </si>
  <si>
    <t>2.8.1.3</t>
  </si>
  <si>
    <t>2.8.1.4</t>
  </si>
  <si>
    <t>2.8.1.5</t>
  </si>
  <si>
    <t>2.8.2.1</t>
  </si>
  <si>
    <t>2.8.2.2</t>
  </si>
  <si>
    <t>2.8.2.3</t>
  </si>
  <si>
    <t>2.8.3.1</t>
  </si>
  <si>
    <t>2.8.3.2</t>
  </si>
  <si>
    <t>2.8.3.3</t>
  </si>
  <si>
    <t>2.8.3.4</t>
  </si>
  <si>
    <t>2.8.4.1</t>
  </si>
  <si>
    <t>Ставка амортизации постоянных активов, %</t>
  </si>
  <si>
    <t xml:space="preserve">Дебиторская задолженность </t>
  </si>
  <si>
    <t>Авансы, выданные поставщикам</t>
  </si>
  <si>
    <t>Доля товаров и услуг  продаваемых по предоплате, %</t>
  </si>
  <si>
    <t>Ставка по краткосрочному кредиту №1, %</t>
  </si>
  <si>
    <t>Ставка по краткосрочному кредиту №2, %</t>
  </si>
  <si>
    <t>Ставка по краткосрочному кредиту №3, %</t>
  </si>
  <si>
    <t>Ставка по займу №1, %</t>
  </si>
  <si>
    <t>Ставка по займу №2, %</t>
  </si>
  <si>
    <t>Ставка по займу №3, %</t>
  </si>
  <si>
    <t xml:space="preserve">Итого </t>
  </si>
  <si>
    <t xml:space="preserve">Расчет остаточной стоимости и амортизационных отчислений  </t>
  </si>
  <si>
    <t>Проекты, направленные на расширение бизнеса</t>
  </si>
  <si>
    <t>Социально обусловленные инвестиции</t>
  </si>
  <si>
    <t xml:space="preserve">Проекты с объемом финансирования менее 50 тыс. руб. </t>
  </si>
  <si>
    <t>Возврат  депозитов</t>
  </si>
  <si>
    <t>Производственная рентабельность специализированных комплексов</t>
  </si>
  <si>
    <t>Производственная рентабельность серверных решений</t>
  </si>
  <si>
    <t>Производственная рентабельность систем хранения данных</t>
  </si>
  <si>
    <t>Производственная рентабельность програмного обеспечения</t>
  </si>
  <si>
    <t>Производственная рентабельность услуг</t>
  </si>
  <si>
    <t>Ставка по депозитам, %</t>
  </si>
  <si>
    <t>Ставка дисконтирования, %</t>
  </si>
  <si>
    <t xml:space="preserve">Показатели эффективности деятельности и финансовой устойчивости </t>
  </si>
  <si>
    <t>Поступление на склад</t>
  </si>
  <si>
    <t>Реализация</t>
  </si>
  <si>
    <t xml:space="preserve">Остаток на конец периода </t>
  </si>
  <si>
    <t>Норматив складского остатка (% от объема продаж серверных решений)</t>
  </si>
  <si>
    <t xml:space="preserve">План закупок товаров для перепродажи </t>
  </si>
  <si>
    <t>Налоги</t>
  </si>
  <si>
    <t>Виды налогов</t>
  </si>
  <si>
    <t>БАЗА</t>
  </si>
  <si>
    <t>Фонд оплаты труда</t>
  </si>
  <si>
    <t>Средняя заработная плата</t>
  </si>
  <si>
    <t>Пени и штрафы начисленные</t>
  </si>
  <si>
    <t>Сумма к уплате (минус)</t>
  </si>
  <si>
    <t>В том числе по фондам</t>
  </si>
  <si>
    <t xml:space="preserve">Сумма начисленная  </t>
  </si>
  <si>
    <t>Увеличение (снижение) задолженности</t>
  </si>
  <si>
    <t>В том числе по видам налогов</t>
  </si>
  <si>
    <t>Сумма начисленная</t>
  </si>
  <si>
    <t>Среднегодовая стоимость активов</t>
  </si>
  <si>
    <t>Стоимость имущества</t>
  </si>
  <si>
    <t>Выплачиваемые дивиденды</t>
  </si>
  <si>
    <t>Плюс корректировки увеличивающие н/о базу</t>
  </si>
  <si>
    <t>Расходы на персонал</t>
  </si>
  <si>
    <t>Командировочные свыше норматива</t>
  </si>
  <si>
    <t>Проценты по кредитам свыше норматива</t>
  </si>
  <si>
    <t>Расходы на рекламу свыше норматива</t>
  </si>
  <si>
    <t>Расходы на обучение свыше норматива</t>
  </si>
  <si>
    <t>Штрафы, пени</t>
  </si>
  <si>
    <t>Прочие суммы к налогобложению</t>
  </si>
  <si>
    <t>Итого увеличение н/о прибыли</t>
  </si>
  <si>
    <t>Минус корректировки уменьшающие н/о базу</t>
  </si>
  <si>
    <t>Отчисления в резервные фонды</t>
  </si>
  <si>
    <t xml:space="preserve">Благотворительность </t>
  </si>
  <si>
    <t>Прочие льготируемые расходы</t>
  </si>
  <si>
    <t>Итого уменьшение н/о прибыли</t>
  </si>
  <si>
    <t>Итого прибыль к налогообложению</t>
  </si>
  <si>
    <t>С накоплением от н.г.</t>
  </si>
  <si>
    <t>Налог на прибыль начисленный</t>
  </si>
  <si>
    <t>График расчетов по налогу на прибыль</t>
  </si>
  <si>
    <t>План продаж по продуктам и рынкам сбыта  в стоимостном выражении без НДС ($)</t>
  </si>
  <si>
    <t>План прямых затрат на реализованные продукты без НДС ($)</t>
  </si>
  <si>
    <t>Расчет налогов</t>
  </si>
  <si>
    <t>Услуги пот продвижению и рекламе продукции</t>
  </si>
  <si>
    <t>НДС</t>
  </si>
  <si>
    <t>Расчет НДС</t>
  </si>
  <si>
    <t>1. Расчеты по НДС за поставленные товары и услуги</t>
  </si>
  <si>
    <t>Расходы начисленные, облагаемые НДС</t>
  </si>
  <si>
    <t>Итого расходы облагаемые НДС</t>
  </si>
  <si>
    <t>НДС начисленный</t>
  </si>
  <si>
    <t>Платежи по расходам, включающим НДС</t>
  </si>
  <si>
    <t>Итого платежи, включая НДС</t>
  </si>
  <si>
    <t>В том числе НДС уплаченный поставщикам</t>
  </si>
  <si>
    <t>НДС по приобретенным товарам, услугам</t>
  </si>
  <si>
    <t>НДС начисленный по приобр. товарам и услугам</t>
  </si>
  <si>
    <t>НДС уплаченный поставщикам к возмещению</t>
  </si>
  <si>
    <t>2.  Расчеты по НДС за приобретенные основные средства</t>
  </si>
  <si>
    <t>Стоимость приобретенных основных средств без НДС</t>
  </si>
  <si>
    <t>НДС начисленный за приобретенные ОС</t>
  </si>
  <si>
    <t>Стоимость основных средств, введенных в эксплуатацию</t>
  </si>
  <si>
    <t>НДС по введенным ОС</t>
  </si>
  <si>
    <t xml:space="preserve">НДС по приобретенным основным средствам </t>
  </si>
  <si>
    <t>Начислено НДС  по приобретенным ОС</t>
  </si>
  <si>
    <t>НДС к возмещению по введенным ОС</t>
  </si>
  <si>
    <t xml:space="preserve">3.  Расчеты по НДС с покупателями товаров и услуг </t>
  </si>
  <si>
    <t>Реализация, облагаемая НДС - начисленные</t>
  </si>
  <si>
    <t>Экспорт - НДС не облагается</t>
  </si>
  <si>
    <t>Внутренний рынок с НДС</t>
  </si>
  <si>
    <t>Прочие покупатели с НДС</t>
  </si>
  <si>
    <t xml:space="preserve">Поступление оплаты за продукцию, облагаемую НДС </t>
  </si>
  <si>
    <t>Внутренний рынок</t>
  </si>
  <si>
    <t>Прочие покупатели</t>
  </si>
  <si>
    <t>НДС по отгруженной но не оплаченной продукции</t>
  </si>
  <si>
    <t>Начислено на реализов.продукцию</t>
  </si>
  <si>
    <t>Уплачено покупателями</t>
  </si>
  <si>
    <t xml:space="preserve">4.  Расчеты по НДС с бюджетом </t>
  </si>
  <si>
    <t>Остаток задолженности на начало периода</t>
  </si>
  <si>
    <t>НДС уплач. поставщикам к возмещению</t>
  </si>
  <si>
    <t>Промежуточное сальдо НДС</t>
  </si>
  <si>
    <t>НДС начисленный к уплате в бюджет</t>
  </si>
  <si>
    <t>НДС к уплате за период</t>
  </si>
  <si>
    <t>НДС к возмещению за период</t>
  </si>
  <si>
    <t>НДС к уплате с итогом накопленного НДС к возмещению</t>
  </si>
  <si>
    <t>НДС к возмещению накопленным итогом</t>
  </si>
  <si>
    <t xml:space="preserve">Расчет НДС </t>
  </si>
  <si>
    <t xml:space="preserve">Расчет налоговых платежей </t>
  </si>
  <si>
    <t xml:space="preserve">Прогнозный отчет о движении денежных средств </t>
  </si>
  <si>
    <t xml:space="preserve">Прогнозный отчет о  доходах и расходах  </t>
  </si>
  <si>
    <t>ОДДС</t>
  </si>
  <si>
    <t xml:space="preserve">ОДР </t>
  </si>
  <si>
    <t xml:space="preserve">Прогнозный отчет о  доходах и расходах </t>
  </si>
  <si>
    <t>2.4.16</t>
  </si>
  <si>
    <t>Транспортные услуги</t>
  </si>
  <si>
    <t>Анализ эффективности бизнеспланирования</t>
  </si>
  <si>
    <t>Доходность (рентабельность) совокупных активов (ROТA)</t>
  </si>
  <si>
    <t>Стоимость собственного капитала</t>
  </si>
  <si>
    <t>Рентабельность денежного потока (ROCF), %</t>
  </si>
  <si>
    <t>Рентабельность денежного потока по чистым активам (CFROI), %</t>
  </si>
  <si>
    <t>Рентабельность продаж или норма прибыли, %</t>
  </si>
  <si>
    <t>Доходность (рентабельность) собственного капитала, %</t>
  </si>
  <si>
    <t>Доходность (рентабельность) совокупных активов, %</t>
  </si>
  <si>
    <t>План закупок ($)</t>
  </si>
  <si>
    <t>План закупок</t>
  </si>
  <si>
    <t>План текущих  затрат коммерческого  отдела</t>
  </si>
  <si>
    <t>Налоговая база до 280 тыс. руб. на 1 сотрудника</t>
  </si>
  <si>
    <t>Налоговая база от 280 тыс. до 600 тыс. руб.</t>
  </si>
  <si>
    <t xml:space="preserve">Движение по складу, 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</si>
  <si>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</si>
  <si>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</si>
  <si>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</si>
  <si>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</si>
  <si>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 xml:space="preserve">1 кв. </t>
  </si>
  <si>
    <t xml:space="preserve">2 кв. </t>
  </si>
  <si>
    <t xml:space="preserve">3 кв. </t>
  </si>
  <si>
    <t xml:space="preserve">4 кв. </t>
  </si>
  <si>
    <t>Средняя остаточная стоимость ОС</t>
  </si>
  <si>
    <t>Средняя остаточная стоимость НМА</t>
  </si>
  <si>
    <t>Фонд оплаты труда ($)</t>
  </si>
  <si>
    <t>Численность сотрудников, чел</t>
  </si>
  <si>
    <t>Ср. зарплата наростающим итогом</t>
  </si>
  <si>
    <t>Расходы</t>
  </si>
  <si>
    <t>СВОДНЫЙ ПЛАН РАСХОДОВ</t>
  </si>
  <si>
    <t>Сводный план всех расходов</t>
  </si>
  <si>
    <t>План текущих  затрат технического  отдела</t>
  </si>
  <si>
    <t>План текущих затрат технического отдела</t>
  </si>
  <si>
    <t>План текущих затрат коммерческого отдела</t>
  </si>
  <si>
    <t>План текущих  затрат административно-управленческого блока (Аппарат директора, Финансовый отдел, Отдел развития бизнеса, АХО)</t>
  </si>
  <si>
    <t>План текущих затрат административно-управленческого  блока</t>
  </si>
  <si>
    <t>Доходы от продажи адаптера</t>
  </si>
  <si>
    <t>Поступления от продажи адаптера</t>
  </si>
  <si>
    <t>Адаптер</t>
  </si>
  <si>
    <t>Производственная рентабельность Адаптера</t>
  </si>
  <si>
    <t>Итого стоимость кредитных ресурсов</t>
  </si>
  <si>
    <t>Стоимость акционерного капитала</t>
  </si>
  <si>
    <t>Структура капитала компании</t>
  </si>
  <si>
    <t>Доля кредитов в структуре компании</t>
  </si>
  <si>
    <t>Факторы дополнительного риска, обусловленные работой выбранного предприятия</t>
  </si>
  <si>
    <t>Факторы риска</t>
  </si>
  <si>
    <t>Не вносят доп. риск</t>
  </si>
  <si>
    <t>Степень риска</t>
  </si>
  <si>
    <t>Низкая</t>
  </si>
  <si>
    <t>Средняя</t>
  </si>
  <si>
    <t>Высокая</t>
  </si>
  <si>
    <t>Оценка риска, в %</t>
  </si>
  <si>
    <t>Ликвидность</t>
  </si>
  <si>
    <t>Дебиторская задолженность</t>
  </si>
  <si>
    <t>Доля на рынке</t>
  </si>
  <si>
    <t>Дифференциация продукции</t>
  </si>
  <si>
    <t>Дифференциация клиентов</t>
  </si>
  <si>
    <t>Территориальное положение</t>
  </si>
  <si>
    <t>Технологический уровень</t>
  </si>
  <si>
    <t>Юридические и налоговые риски</t>
  </si>
  <si>
    <t>Качество менеджмента и организация работы компании</t>
  </si>
  <si>
    <t>Рентабельность</t>
  </si>
  <si>
    <t>Итого по столбцам</t>
  </si>
  <si>
    <t>Итого дополнительный риск</t>
  </si>
  <si>
    <t>Прогнозируемый долгосрочный темп роста свободного денежного потока, % в год</t>
  </si>
  <si>
    <t>Расчет стоимости собственного капитала:</t>
  </si>
  <si>
    <t>Стоимость использования собственного капитала</t>
  </si>
  <si>
    <t>Безрисковая ставка доходности</t>
  </si>
  <si>
    <t>Рыночная премия за риск, связанный c работой малой компании</t>
  </si>
  <si>
    <t>Рыночная премия за риск, связанный с работой выбранного предприятия</t>
  </si>
  <si>
    <t>Итого стоимость собственного капитала</t>
  </si>
  <si>
    <t>Ставка дисконтирования (WACC)</t>
  </si>
  <si>
    <t>Рыночная премия за риск инвестирования в российские компании</t>
  </si>
  <si>
    <t xml:space="preserve">Долгосрочные кредиты </t>
  </si>
  <si>
    <t>Ставка по долгосрочному кредиту №1, %</t>
  </si>
  <si>
    <t>Ставка по долгосрочному кредиту №2, %</t>
  </si>
  <si>
    <t>Доходы от продажи продукта N (Гос. Инвестиции )</t>
  </si>
  <si>
    <t>Поступления от продажи продукта N (Гос. инвестиции)</t>
  </si>
  <si>
    <t xml:space="preserve">Займ 2 </t>
  </si>
  <si>
    <t>2.4.17</t>
  </si>
  <si>
    <t>Роялти</t>
  </si>
  <si>
    <t>Роялти (% от продаж адаптера)</t>
  </si>
  <si>
    <t>Продукт N - (Гос. Инвестиции)</t>
  </si>
  <si>
    <t>Коэффициент систематического риска  отрасли высоких технологий</t>
  </si>
  <si>
    <t xml:space="preserve">Займ 1 </t>
  </si>
  <si>
    <t>Терминальный СДП (на основе 2009)</t>
  </si>
  <si>
    <t xml:space="preserve">Бонусы </t>
  </si>
  <si>
    <t>Ввод основных средств из незавершенных капиталловложений</t>
  </si>
  <si>
    <t>Ввод нематериальных активов</t>
  </si>
  <si>
    <t>Ввод нематериальных активов в сумме инвестиций текущего периода</t>
  </si>
  <si>
    <t>Ввод нематериальных активов из незавершенных капиталовложений</t>
  </si>
  <si>
    <t>НИОКР</t>
  </si>
  <si>
    <t>прочие нематериальные активы</t>
  </si>
  <si>
    <t>Производственная рентабельность продукта N (Гос. Инвестиции)</t>
  </si>
  <si>
    <t xml:space="preserve"> </t>
  </si>
  <si>
    <t>х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</si>
</sst>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419]mmmm\ yyyy;@"/>
    <numFmt numFmtId="181" formatCode="#,##0.0_);\(#,##0.0\)"/>
    <numFmt numFmtId="182" formatCode="0.0%"/>
    <numFmt numFmtId="183" formatCode="_-* #,##0_р_._-;\-* #,##0_р_._-;_-* &quot;-&quot;??_р_._-;_-@_-"/>
    <numFmt numFmtId="184" formatCode="mmmm"/>
    <numFmt numFmtId="185" formatCode="General_);[Red]\-General_)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_-* #,##0.00\ [$€-1]_-;\-* #,##0.00\ [$€-1]_-;_-* &quot;-&quot;??\ [$€-1]_-"/>
    <numFmt numFmtId="191" formatCode="0.00000"/>
    <numFmt numFmtId="192" formatCode="_(* #,##0.00_);_(* \(#,##0.00\);_(* &quot;-&quot;??_);_(@_)"/>
    <numFmt numFmtId="193" formatCode="#,##0.0"/>
    <numFmt numFmtId="194" formatCode="mmm\-yy_)"/>
    <numFmt numFmtId="195" formatCode="#,##0_);\(#,##0\)"/>
    <numFmt numFmtId="196" formatCode="#,##0_ ;[Red]\-#,##0\ "/>
    <numFmt numFmtId="197" formatCode="mmm\ yy"/>
    <numFmt numFmtId="198" formatCode="_(* #,##0.0_);_(* \(#,##0.0\);_(* &quot;-&quot;??_);_(@_)"/>
    <numFmt numFmtId="199" formatCode="#,##0;[Red]#,##0"/>
    <numFmt numFmtId="200" formatCode="#,##0;[Red]\(#,##0\)"/>
    <numFmt numFmtId="201" formatCode="#,##0;\(#,##0\)"/>
    <numFmt numFmtId="202" formatCode="_-* #,##0.0_р_._-;\-* #,##0.0_р_._-;_-* &quot;-&quot;??_р_._-;_-@_-"/>
    <numFmt numFmtId="203" formatCode="0.000000"/>
    <numFmt numFmtId="204" formatCode="0.0000"/>
    <numFmt numFmtId="205" formatCode="0.000"/>
    <numFmt numFmtId="206" formatCode="0.0"/>
    <numFmt numFmtId="207" formatCode="[$-FC19]d\ mmmm\ yyyy\ &quot;г.&quot;"/>
    <numFmt numFmtId="208" formatCode="mmm/yyyy"/>
    <numFmt numFmtId="209" formatCode="#,##0.0_ ;[Red]\-#,##0.0\ "/>
    <numFmt numFmtId="210" formatCode="#,##0.00_ ;[Red]\-#,##0.00\ "/>
    <numFmt numFmtId="211" formatCode="_-* #,##0.0\ _р_._-;\-* #,##0.0\ _р_._-;_-* &quot;-&quot;??\ _р_._-;_-@_-"/>
    <numFmt numFmtId="212" formatCode="_-* #,##0\ _р_._-;\-* #,##0\ _р_._-;_-* &quot;-&quot;??\ _р_._-;_-@_-"/>
    <numFmt numFmtId="213" formatCode="#,##0.000"/>
    <numFmt numFmtId="214" formatCode="#,##0.0000"/>
    <numFmt numFmtId="215" formatCode="0.000%"/>
    <numFmt numFmtId="216" formatCode="0.0000%"/>
    <numFmt numFmtId="217" formatCode="0.00000%"/>
    <numFmt numFmtId="218" formatCode="[Blue]0.0%;[Red]\-0.0%"/>
    <numFmt numFmtId="219" formatCode="#,##0_ ;\-#,##0\ "/>
    <numFmt numFmtId="220" formatCode="#,##0.00000"/>
  </numFmts>
  <fonts count="9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Courier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21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0"/>
      <color indexed="21"/>
      <name val="Times New Roman"/>
      <family val="1"/>
    </font>
    <font>
      <sz val="8"/>
      <name val="Arial"/>
      <family val="0"/>
    </font>
    <font>
      <b/>
      <sz val="11"/>
      <name val="Times New Roman Cyr"/>
      <family val="1"/>
    </font>
    <font>
      <b/>
      <u val="single"/>
      <sz val="10"/>
      <name val="Times New Roman Cyr"/>
      <family val="1"/>
    </font>
    <font>
      <sz val="8"/>
      <name val="Times New Roman Cyr"/>
      <family val="1"/>
    </font>
    <font>
      <b/>
      <sz val="10"/>
      <color indexed="10"/>
      <name val="Times New Roman Cyr"/>
      <family val="1"/>
    </font>
    <font>
      <b/>
      <sz val="8"/>
      <name val="Times New Roman Cyr"/>
      <family val="1"/>
    </font>
    <font>
      <b/>
      <sz val="10"/>
      <name val="Arial"/>
      <family val="0"/>
    </font>
    <font>
      <b/>
      <sz val="10"/>
      <color indexed="12"/>
      <name val="Times New Roman Cyr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u val="single"/>
      <sz val="16"/>
      <color indexed="12"/>
      <name val="Arial Cyr"/>
      <family val="0"/>
    </font>
    <font>
      <i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9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5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3" fillId="20" borderId="0">
      <alignment/>
      <protection/>
    </xf>
    <xf numFmtId="0" fontId="4" fillId="20" borderId="0">
      <alignment/>
      <protection/>
    </xf>
    <xf numFmtId="187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3" fillId="21" borderId="0">
      <alignment/>
      <protection/>
    </xf>
    <xf numFmtId="0" fontId="4" fillId="22" borderId="0">
      <alignment/>
      <protection/>
    </xf>
    <xf numFmtId="190" fontId="5" fillId="0" borderId="0" applyFont="0" applyFill="0" applyBorder="0" applyAlignment="0" applyProtection="0"/>
    <xf numFmtId="0" fontId="5" fillId="0" borderId="0">
      <alignment/>
      <protection/>
    </xf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1" fillId="29" borderId="1" applyNumberFormat="0" applyAlignment="0" applyProtection="0"/>
    <xf numFmtId="0" fontId="82" fillId="30" borderId="2" applyNumberFormat="0" applyAlignment="0" applyProtection="0"/>
    <xf numFmtId="0" fontId="83" fillId="3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31" borderId="7" applyNumberFormat="0" applyAlignment="0" applyProtection="0"/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0" fillId="0" borderId="0">
      <alignment/>
      <protection/>
    </xf>
    <xf numFmtId="181" fontId="5" fillId="0" borderId="0">
      <alignment/>
      <protection/>
    </xf>
    <xf numFmtId="0" fontId="0" fillId="0" borderId="0">
      <alignment horizontal="left"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1" fillId="33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5" fillId="35" borderId="0" applyNumberFormat="0" applyBorder="0" applyAlignment="0" applyProtection="0"/>
  </cellStyleXfs>
  <cellXfs count="118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0" fillId="36" borderId="0" xfId="52" applyFont="1" applyFill="1" applyAlignment="1" applyProtection="1">
      <alignment vertical="center"/>
      <protection/>
    </xf>
    <xf numFmtId="0" fontId="9" fillId="36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52" applyFont="1" applyAlignment="1" applyProtection="1">
      <alignment vertical="center"/>
      <protection/>
    </xf>
    <xf numFmtId="0" fontId="10" fillId="0" borderId="0" xfId="52" applyFont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1" fontId="9" fillId="0" borderId="0" xfId="88" applyFont="1" applyAlignment="1">
      <alignment vertical="center"/>
    </xf>
    <xf numFmtId="171" fontId="8" fillId="0" borderId="11" xfId="88" applyFont="1" applyBorder="1" applyAlignment="1">
      <alignment vertical="center"/>
    </xf>
    <xf numFmtId="171" fontId="11" fillId="0" borderId="12" xfId="88" applyFont="1" applyBorder="1" applyAlignment="1">
      <alignment vertical="center"/>
    </xf>
    <xf numFmtId="171" fontId="11" fillId="0" borderId="13" xfId="88" applyFont="1" applyBorder="1" applyAlignment="1">
      <alignment vertical="center"/>
    </xf>
    <xf numFmtId="171" fontId="11" fillId="0" borderId="14" xfId="88" applyFont="1" applyBorder="1" applyAlignment="1">
      <alignment vertical="center"/>
    </xf>
    <xf numFmtId="171" fontId="13" fillId="0" borderId="0" xfId="88" applyFont="1" applyAlignment="1">
      <alignment vertical="center"/>
    </xf>
    <xf numFmtId="171" fontId="14" fillId="0" borderId="15" xfId="88" applyFont="1" applyFill="1" applyBorder="1" applyAlignment="1">
      <alignment vertical="center" wrapText="1"/>
    </xf>
    <xf numFmtId="171" fontId="13" fillId="0" borderId="16" xfId="88" applyFont="1" applyBorder="1" applyAlignment="1">
      <alignment vertical="center"/>
    </xf>
    <xf numFmtId="171" fontId="13" fillId="0" borderId="17" xfId="88" applyFont="1" applyBorder="1" applyAlignment="1">
      <alignment vertical="center"/>
    </xf>
    <xf numFmtId="171" fontId="13" fillId="0" borderId="18" xfId="88" applyFont="1" applyBorder="1" applyAlignment="1">
      <alignment vertical="center"/>
    </xf>
    <xf numFmtId="171" fontId="9" fillId="0" borderId="13" xfId="88" applyFont="1" applyBorder="1" applyAlignment="1">
      <alignment vertical="center"/>
    </xf>
    <xf numFmtId="171" fontId="9" fillId="0" borderId="14" xfId="88" applyFont="1" applyBorder="1" applyAlignment="1">
      <alignment vertical="center"/>
    </xf>
    <xf numFmtId="171" fontId="9" fillId="0" borderId="19" xfId="88" applyFont="1" applyBorder="1" applyAlignment="1">
      <alignment vertical="center"/>
    </xf>
    <xf numFmtId="171" fontId="9" fillId="0" borderId="0" xfId="88" applyFont="1" applyFill="1" applyAlignment="1">
      <alignment vertical="center"/>
    </xf>
    <xf numFmtId="171" fontId="9" fillId="0" borderId="20" xfId="88" applyFont="1" applyBorder="1" applyAlignment="1">
      <alignment vertical="center"/>
    </xf>
    <xf numFmtId="171" fontId="9" fillId="0" borderId="21" xfId="88" applyFont="1" applyBorder="1" applyAlignment="1">
      <alignment vertical="center"/>
    </xf>
    <xf numFmtId="171" fontId="9" fillId="0" borderId="22" xfId="88" applyFont="1" applyBorder="1" applyAlignment="1">
      <alignment vertical="center"/>
    </xf>
    <xf numFmtId="171" fontId="9" fillId="37" borderId="20" xfId="88" applyFont="1" applyFill="1" applyBorder="1" applyAlignment="1">
      <alignment vertical="center"/>
    </xf>
    <xf numFmtId="171" fontId="9" fillId="37" borderId="21" xfId="88" applyFont="1" applyFill="1" applyBorder="1" applyAlignment="1">
      <alignment vertical="center"/>
    </xf>
    <xf numFmtId="171" fontId="9" fillId="37" borderId="22" xfId="88" applyFont="1" applyFill="1" applyBorder="1" applyAlignment="1">
      <alignment vertical="center"/>
    </xf>
    <xf numFmtId="171" fontId="15" fillId="0" borderId="0" xfId="88" applyFont="1" applyBorder="1" applyAlignment="1">
      <alignment horizontal="left" vertical="center" wrapText="1" indent="1"/>
    </xf>
    <xf numFmtId="171" fontId="9" fillId="0" borderId="0" xfId="88" applyFont="1" applyFill="1" applyBorder="1" applyAlignment="1">
      <alignment vertical="center"/>
    </xf>
    <xf numFmtId="171" fontId="9" fillId="0" borderId="0" xfId="88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3" fontId="9" fillId="0" borderId="11" xfId="88" applyNumberFormat="1" applyFont="1" applyBorder="1" applyAlignment="1">
      <alignment vertical="center"/>
    </xf>
    <xf numFmtId="183" fontId="9" fillId="0" borderId="19" xfId="88" applyNumberFormat="1" applyFont="1" applyBorder="1" applyAlignment="1">
      <alignment vertical="center"/>
    </xf>
    <xf numFmtId="183" fontId="9" fillId="0" borderId="13" xfId="88" applyNumberFormat="1" applyFont="1" applyBorder="1" applyAlignment="1">
      <alignment vertical="center"/>
    </xf>
    <xf numFmtId="183" fontId="9" fillId="0" borderId="14" xfId="88" applyNumberFormat="1" applyFont="1" applyBorder="1" applyAlignment="1">
      <alignment vertical="center"/>
    </xf>
    <xf numFmtId="183" fontId="9" fillId="0" borderId="12" xfId="88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71" fontId="8" fillId="0" borderId="0" xfId="88" applyFont="1" applyAlignment="1">
      <alignment vertical="center"/>
    </xf>
    <xf numFmtId="0" fontId="10" fillId="0" borderId="0" xfId="52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83" fontId="8" fillId="0" borderId="13" xfId="88" applyNumberFormat="1" applyFont="1" applyBorder="1" applyAlignment="1">
      <alignment vertical="center"/>
    </xf>
    <xf numFmtId="183" fontId="8" fillId="0" borderId="12" xfId="88" applyNumberFormat="1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 indent="1"/>
    </xf>
    <xf numFmtId="183" fontId="9" fillId="0" borderId="11" xfId="0" applyNumberFormat="1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3" fontId="8" fillId="0" borderId="10" xfId="88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83" fontId="12" fillId="0" borderId="10" xfId="88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83" fontId="8" fillId="0" borderId="0" xfId="88" applyNumberFormat="1" applyFont="1" applyBorder="1" applyAlignment="1">
      <alignment vertical="center"/>
    </xf>
    <xf numFmtId="183" fontId="9" fillId="0" borderId="25" xfId="88" applyNumberFormat="1" applyFont="1" applyBorder="1" applyAlignment="1">
      <alignment vertical="center"/>
    </xf>
    <xf numFmtId="183" fontId="9" fillId="0" borderId="26" xfId="88" applyNumberFormat="1" applyFont="1" applyBorder="1" applyAlignment="1">
      <alignment vertical="center"/>
    </xf>
    <xf numFmtId="183" fontId="9" fillId="0" borderId="27" xfId="88" applyNumberFormat="1" applyFont="1" applyBorder="1" applyAlignment="1">
      <alignment vertical="center"/>
    </xf>
    <xf numFmtId="183" fontId="9" fillId="0" borderId="28" xfId="88" applyNumberFormat="1" applyFont="1" applyBorder="1" applyAlignment="1">
      <alignment vertical="center"/>
    </xf>
    <xf numFmtId="183" fontId="9" fillId="0" borderId="29" xfId="88" applyNumberFormat="1" applyFont="1" applyBorder="1" applyAlignment="1">
      <alignment vertical="center"/>
    </xf>
    <xf numFmtId="183" fontId="9" fillId="0" borderId="30" xfId="88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85" fontId="8" fillId="0" borderId="0" xfId="65" applyNumberFormat="1" applyFont="1" applyProtection="1">
      <alignment/>
      <protection/>
    </xf>
    <xf numFmtId="183" fontId="9" fillId="37" borderId="13" xfId="88" applyNumberFormat="1" applyFont="1" applyFill="1" applyBorder="1" applyAlignment="1">
      <alignment vertical="center"/>
    </xf>
    <xf numFmtId="183" fontId="9" fillId="37" borderId="14" xfId="88" applyNumberFormat="1" applyFont="1" applyFill="1" applyBorder="1" applyAlignment="1">
      <alignment vertical="center"/>
    </xf>
    <xf numFmtId="185" fontId="9" fillId="0" borderId="0" xfId="65" applyNumberFormat="1" applyFont="1" applyProtection="1">
      <alignment/>
      <protection/>
    </xf>
    <xf numFmtId="183" fontId="9" fillId="0" borderId="13" xfId="0" applyNumberFormat="1" applyFont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0" fontId="19" fillId="0" borderId="0" xfId="0" applyFont="1" applyFill="1" applyAlignment="1">
      <alignment vertical="center"/>
    </xf>
    <xf numFmtId="183" fontId="19" fillId="0" borderId="13" xfId="0" applyNumberFormat="1" applyFont="1" applyFill="1" applyBorder="1" applyAlignment="1">
      <alignment vertical="center"/>
    </xf>
    <xf numFmtId="183" fontId="19" fillId="0" borderId="14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183" fontId="8" fillId="0" borderId="13" xfId="0" applyNumberFormat="1" applyFont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183" fontId="9" fillId="0" borderId="11" xfId="88" applyNumberFormat="1" applyFont="1" applyFill="1" applyBorder="1" applyAlignment="1">
      <alignment vertical="center"/>
    </xf>
    <xf numFmtId="183" fontId="9" fillId="0" borderId="13" xfId="0" applyNumberFormat="1" applyFont="1" applyFill="1" applyBorder="1" applyAlignment="1">
      <alignment vertical="center"/>
    </xf>
    <xf numFmtId="183" fontId="9" fillId="0" borderId="14" xfId="0" applyNumberFormat="1" applyFont="1" applyFill="1" applyBorder="1" applyAlignment="1">
      <alignment vertical="center"/>
    </xf>
    <xf numFmtId="183" fontId="8" fillId="0" borderId="31" xfId="0" applyNumberFormat="1" applyFont="1" applyFill="1" applyBorder="1" applyAlignment="1">
      <alignment vertical="center"/>
    </xf>
    <xf numFmtId="183" fontId="8" fillId="0" borderId="13" xfId="0" applyNumberFormat="1" applyFont="1" applyFill="1" applyBorder="1" applyAlignment="1">
      <alignment vertical="center"/>
    </xf>
    <xf numFmtId="183" fontId="8" fillId="0" borderId="14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83" fontId="19" fillId="0" borderId="13" xfId="0" applyNumberFormat="1" applyFont="1" applyBorder="1" applyAlignment="1">
      <alignment vertical="center"/>
    </xf>
    <xf numFmtId="183" fontId="19" fillId="0" borderId="1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83" fontId="9" fillId="0" borderId="3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71" fontId="9" fillId="0" borderId="10" xfId="88" applyFont="1" applyBorder="1" applyAlignment="1">
      <alignment vertical="center"/>
    </xf>
    <xf numFmtId="171" fontId="9" fillId="0" borderId="11" xfId="88" applyNumberFormat="1" applyFont="1" applyFill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181" fontId="9" fillId="0" borderId="0" xfId="66" applyFont="1" applyBorder="1" applyAlignment="1">
      <alignment horizontal="center"/>
      <protection/>
    </xf>
    <xf numFmtId="181" fontId="9" fillId="0" borderId="0" xfId="66" applyFont="1" applyBorder="1">
      <alignment/>
      <protection/>
    </xf>
    <xf numFmtId="181" fontId="8" fillId="0" borderId="0" xfId="66" applyFont="1" applyBorder="1" applyAlignment="1">
      <alignment horizontal="center"/>
      <protection/>
    </xf>
    <xf numFmtId="181" fontId="8" fillId="0" borderId="0" xfId="66" applyFont="1" applyBorder="1" applyAlignment="1">
      <alignment horizontal="left"/>
      <protection/>
    </xf>
    <xf numFmtId="181" fontId="8" fillId="0" borderId="0" xfId="66" applyFont="1" applyBorder="1">
      <alignment/>
      <protection/>
    </xf>
    <xf numFmtId="192" fontId="8" fillId="0" borderId="0" xfId="66" applyNumberFormat="1" applyFont="1" applyBorder="1" applyAlignment="1" applyProtection="1">
      <alignment horizontal="right"/>
      <protection/>
    </xf>
    <xf numFmtId="192" fontId="9" fillId="0" borderId="0" xfId="66" applyNumberFormat="1" applyFont="1" applyBorder="1" applyAlignment="1" applyProtection="1">
      <alignment/>
      <protection/>
    </xf>
    <xf numFmtId="193" fontId="9" fillId="0" borderId="0" xfId="66" applyNumberFormat="1" applyFont="1" applyBorder="1" applyAlignment="1">
      <alignment horizontal="right"/>
      <protection/>
    </xf>
    <xf numFmtId="193" fontId="9" fillId="0" borderId="0" xfId="66" applyNumberFormat="1" applyFont="1" applyBorder="1" applyAlignment="1" applyProtection="1">
      <alignment horizontal="right"/>
      <protection/>
    </xf>
    <xf numFmtId="193" fontId="18" fillId="0" borderId="0" xfId="66" applyNumberFormat="1" applyFont="1" applyBorder="1" applyAlignment="1" applyProtection="1">
      <alignment horizontal="left"/>
      <protection/>
    </xf>
    <xf numFmtId="3" fontId="9" fillId="0" borderId="0" xfId="66" applyNumberFormat="1" applyFont="1" applyBorder="1" applyAlignment="1">
      <alignment horizontal="right"/>
      <protection/>
    </xf>
    <xf numFmtId="3" fontId="9" fillId="0" borderId="0" xfId="66" applyNumberFormat="1" applyFont="1" applyBorder="1" applyAlignment="1" applyProtection="1">
      <alignment horizontal="right"/>
      <protection/>
    </xf>
    <xf numFmtId="3" fontId="9" fillId="0" borderId="0" xfId="66" applyNumberFormat="1" applyFont="1" applyBorder="1">
      <alignment/>
      <protection/>
    </xf>
    <xf numFmtId="181" fontId="8" fillId="0" borderId="33" xfId="66" applyFont="1" applyBorder="1">
      <alignment/>
      <protection/>
    </xf>
    <xf numFmtId="3" fontId="8" fillId="0" borderId="33" xfId="66" applyNumberFormat="1" applyFont="1" applyBorder="1" applyAlignment="1" applyProtection="1">
      <alignment horizontal="right"/>
      <protection/>
    </xf>
    <xf numFmtId="3" fontId="8" fillId="0" borderId="0" xfId="66" applyNumberFormat="1" applyFont="1" applyBorder="1">
      <alignment/>
      <protection/>
    </xf>
    <xf numFmtId="181" fontId="9" fillId="0" borderId="0" xfId="66" applyFont="1" applyBorder="1" applyAlignment="1">
      <alignment horizontal="left"/>
      <protection/>
    </xf>
    <xf numFmtId="3" fontId="9" fillId="0" borderId="0" xfId="66" applyNumberFormat="1" applyFont="1" applyBorder="1" applyAlignment="1">
      <alignment horizontal="center"/>
      <protection/>
    </xf>
    <xf numFmtId="3" fontId="8" fillId="0" borderId="0" xfId="66" applyNumberFormat="1" applyFont="1" applyBorder="1" applyAlignment="1" applyProtection="1">
      <alignment horizontal="right"/>
      <protection/>
    </xf>
    <xf numFmtId="181" fontId="8" fillId="0" borderId="0" xfId="66" applyFont="1" applyBorder="1">
      <alignment/>
      <protection/>
    </xf>
    <xf numFmtId="3" fontId="13" fillId="0" borderId="0" xfId="66" applyNumberFormat="1" applyFont="1" applyBorder="1" applyAlignment="1">
      <alignment horizontal="right"/>
      <protection/>
    </xf>
    <xf numFmtId="181" fontId="27" fillId="0" borderId="0" xfId="66" applyFont="1" applyBorder="1" applyAlignment="1">
      <alignment horizontal="left"/>
      <protection/>
    </xf>
    <xf numFmtId="181" fontId="28" fillId="0" borderId="0" xfId="66" applyFont="1" applyFill="1" applyBorder="1" applyAlignment="1">
      <alignment horizontal="left"/>
      <protection/>
    </xf>
    <xf numFmtId="181" fontId="28" fillId="0" borderId="0" xfId="66" applyFont="1" applyFill="1" applyBorder="1">
      <alignment/>
      <protection/>
    </xf>
    <xf numFmtId="3" fontId="28" fillId="0" borderId="0" xfId="66" applyNumberFormat="1" applyFont="1" applyFill="1" applyBorder="1" applyAlignment="1">
      <alignment horizontal="right"/>
      <protection/>
    </xf>
    <xf numFmtId="3" fontId="28" fillId="37" borderId="13" xfId="66" applyNumberFormat="1" applyFont="1" applyFill="1" applyBorder="1" applyAlignment="1" applyProtection="1">
      <alignment horizontal="right"/>
      <protection/>
    </xf>
    <xf numFmtId="3" fontId="28" fillId="0" borderId="0" xfId="66" applyNumberFormat="1" applyFont="1" applyFill="1" applyBorder="1">
      <alignment/>
      <protection/>
    </xf>
    <xf numFmtId="181" fontId="9" fillId="0" borderId="34" xfId="66" applyFont="1" applyBorder="1" applyAlignment="1">
      <alignment horizontal="left"/>
      <protection/>
    </xf>
    <xf numFmtId="181" fontId="9" fillId="0" borderId="34" xfId="66" applyFont="1" applyBorder="1">
      <alignment/>
      <protection/>
    </xf>
    <xf numFmtId="3" fontId="9" fillId="37" borderId="34" xfId="66" applyNumberFormat="1" applyFont="1" applyFill="1" applyBorder="1" applyAlignment="1">
      <alignment horizontal="right"/>
      <protection/>
    </xf>
    <xf numFmtId="3" fontId="9" fillId="0" borderId="34" xfId="66" applyNumberFormat="1" applyFont="1" applyBorder="1" applyAlignment="1" applyProtection="1">
      <alignment horizontal="right"/>
      <protection/>
    </xf>
    <xf numFmtId="3" fontId="18" fillId="0" borderId="0" xfId="66" applyNumberFormat="1" applyFont="1" applyBorder="1" applyAlignment="1">
      <alignment horizontal="left"/>
      <protection/>
    </xf>
    <xf numFmtId="181" fontId="9" fillId="0" borderId="0" xfId="66" applyFont="1" applyFill="1" applyBorder="1">
      <alignment/>
      <protection/>
    </xf>
    <xf numFmtId="181" fontId="9" fillId="0" borderId="0" xfId="66" applyFont="1" applyFill="1" applyBorder="1" applyAlignment="1">
      <alignment horizontal="left"/>
      <protection/>
    </xf>
    <xf numFmtId="3" fontId="9" fillId="0" borderId="0" xfId="66" applyNumberFormat="1" applyFont="1" applyFill="1" applyBorder="1" applyAlignment="1">
      <alignment horizontal="right"/>
      <protection/>
    </xf>
    <xf numFmtId="3" fontId="9" fillId="0" borderId="0" xfId="66" applyNumberFormat="1" applyFont="1" applyFill="1" applyBorder="1" applyAlignment="1" applyProtection="1">
      <alignment horizontal="right"/>
      <protection/>
    </xf>
    <xf numFmtId="3" fontId="9" fillId="0" borderId="0" xfId="66" applyNumberFormat="1" applyFont="1" applyFill="1" applyBorder="1">
      <alignment/>
      <protection/>
    </xf>
    <xf numFmtId="181" fontId="8" fillId="0" borderId="0" xfId="66" applyFont="1" applyFill="1" applyBorder="1">
      <alignment/>
      <protection/>
    </xf>
    <xf numFmtId="3" fontId="8" fillId="0" borderId="0" xfId="66" applyNumberFormat="1" applyFont="1" applyFill="1" applyBorder="1" applyAlignment="1" applyProtection="1">
      <alignment horizontal="right"/>
      <protection/>
    </xf>
    <xf numFmtId="3" fontId="8" fillId="0" borderId="0" xfId="66" applyNumberFormat="1" applyFont="1" applyFill="1" applyBorder="1">
      <alignment/>
      <protection/>
    </xf>
    <xf numFmtId="0" fontId="29" fillId="0" borderId="0" xfId="71" applyFont="1" applyFill="1">
      <alignment/>
      <protection/>
    </xf>
    <xf numFmtId="181" fontId="9" fillId="0" borderId="0" xfId="66" applyFont="1" applyBorder="1" applyAlignment="1">
      <alignment/>
      <protection/>
    </xf>
    <xf numFmtId="181" fontId="8" fillId="0" borderId="0" xfId="68" applyFont="1" applyFill="1" applyAlignment="1">
      <alignment vertical="center"/>
      <protection/>
    </xf>
    <xf numFmtId="0" fontId="16" fillId="38" borderId="35" xfId="0" applyFont="1" applyFill="1" applyBorder="1" applyAlignment="1">
      <alignment horizontal="center" vertical="center" wrapText="1"/>
    </xf>
    <xf numFmtId="171" fontId="8" fillId="0" borderId="10" xfId="88" applyFont="1" applyBorder="1" applyAlignment="1">
      <alignment horizontal="left" vertical="center" indent="1"/>
    </xf>
    <xf numFmtId="171" fontId="33" fillId="0" borderId="12" xfId="88" applyFont="1" applyBorder="1" applyAlignment="1">
      <alignment vertical="center"/>
    </xf>
    <xf numFmtId="171" fontId="33" fillId="0" borderId="13" xfId="88" applyFont="1" applyBorder="1" applyAlignment="1">
      <alignment vertical="center"/>
    </xf>
    <xf numFmtId="171" fontId="33" fillId="0" borderId="14" xfId="88" applyFont="1" applyBorder="1" applyAlignment="1">
      <alignment vertical="center"/>
    </xf>
    <xf numFmtId="171" fontId="8" fillId="0" borderId="0" xfId="88" applyFont="1" applyBorder="1" applyAlignment="1">
      <alignment vertical="center"/>
    </xf>
    <xf numFmtId="171" fontId="13" fillId="0" borderId="36" xfId="88" applyFont="1" applyBorder="1" applyAlignment="1">
      <alignment vertical="center"/>
    </xf>
    <xf numFmtId="171" fontId="13" fillId="0" borderId="37" xfId="88" applyFont="1" applyBorder="1" applyAlignment="1">
      <alignment vertical="center"/>
    </xf>
    <xf numFmtId="171" fontId="13" fillId="0" borderId="38" xfId="88" applyFont="1" applyBorder="1" applyAlignment="1">
      <alignment vertical="center"/>
    </xf>
    <xf numFmtId="171" fontId="9" fillId="37" borderId="36" xfId="88" applyFont="1" applyFill="1" applyBorder="1" applyAlignment="1">
      <alignment vertical="center"/>
    </xf>
    <xf numFmtId="171" fontId="9" fillId="37" borderId="38" xfId="88" applyFont="1" applyFill="1" applyBorder="1" applyAlignment="1">
      <alignment vertical="center"/>
    </xf>
    <xf numFmtId="171" fontId="9" fillId="37" borderId="37" xfId="88" applyFont="1" applyFill="1" applyBorder="1" applyAlignment="1">
      <alignment vertical="center"/>
    </xf>
    <xf numFmtId="0" fontId="35" fillId="0" borderId="0" xfId="70" applyFont="1" applyBorder="1" applyAlignment="1">
      <alignment horizontal="left" vertical="center"/>
      <protection/>
    </xf>
    <xf numFmtId="0" fontId="36" fillId="0" borderId="0" xfId="70" applyFont="1" applyBorder="1" applyAlignment="1">
      <alignment horizontal="center" vertical="center" wrapText="1"/>
      <protection/>
    </xf>
    <xf numFmtId="0" fontId="36" fillId="0" borderId="0" xfId="70" applyFont="1" applyFill="1" applyBorder="1" applyAlignment="1">
      <alignment horizontal="center" vertical="center" wrapText="1"/>
      <protection/>
    </xf>
    <xf numFmtId="0" fontId="0" fillId="0" borderId="0" xfId="70" applyFont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9" fillId="37" borderId="11" xfId="0" applyFont="1" applyFill="1" applyBorder="1" applyAlignment="1" quotePrefix="1">
      <alignment vertical="center" wrapText="1"/>
    </xf>
    <xf numFmtId="0" fontId="8" fillId="37" borderId="11" xfId="0" applyFont="1" applyFill="1" applyBorder="1" applyAlignment="1" quotePrefix="1">
      <alignment vertical="center" wrapText="1"/>
    </xf>
    <xf numFmtId="0" fontId="9" fillId="37" borderId="39" xfId="0" applyFont="1" applyFill="1" applyBorder="1" applyAlignment="1" quotePrefix="1">
      <alignment vertical="center" wrapText="1"/>
    </xf>
    <xf numFmtId="49" fontId="8" fillId="37" borderId="0" xfId="69" applyNumberFormat="1" applyFont="1" applyFill="1" applyBorder="1" applyAlignment="1">
      <alignment horizontal="left" vertical="center"/>
      <protection/>
    </xf>
    <xf numFmtId="3" fontId="9" fillId="37" borderId="0" xfId="66" applyNumberFormat="1" applyFont="1" applyFill="1" applyBorder="1" applyAlignment="1">
      <alignment horizontal="right"/>
      <protection/>
    </xf>
    <xf numFmtId="0" fontId="9" fillId="0" borderId="15" xfId="0" applyFont="1" applyBorder="1" applyAlignment="1">
      <alignment horizontal="center" vertical="center" wrapText="1"/>
    </xf>
    <xf numFmtId="49" fontId="8" fillId="37" borderId="0" xfId="69" applyNumberFormat="1" applyFont="1" applyFill="1" applyBorder="1" applyAlignment="1" quotePrefix="1">
      <alignment horizontal="left" vertical="center"/>
      <protection/>
    </xf>
    <xf numFmtId="3" fontId="28" fillId="0" borderId="13" xfId="66" applyNumberFormat="1" applyFont="1" applyFill="1" applyBorder="1" applyAlignment="1" applyProtection="1">
      <alignment horizontal="right"/>
      <protection/>
    </xf>
    <xf numFmtId="3" fontId="9" fillId="0" borderId="40" xfId="66" applyNumberFormat="1" applyFont="1" applyFill="1" applyBorder="1" applyAlignment="1">
      <alignment horizontal="right"/>
      <protection/>
    </xf>
    <xf numFmtId="3" fontId="28" fillId="0" borderId="0" xfId="66" applyNumberFormat="1" applyFont="1" applyFill="1" applyBorder="1" applyAlignment="1" applyProtection="1">
      <alignment horizontal="right"/>
      <protection/>
    </xf>
    <xf numFmtId="183" fontId="8" fillId="0" borderId="13" xfId="87" applyNumberFormat="1" applyFont="1" applyBorder="1" applyAlignment="1">
      <alignment vertical="center"/>
    </xf>
    <xf numFmtId="183" fontId="8" fillId="0" borderId="14" xfId="87" applyNumberFormat="1" applyFont="1" applyBorder="1" applyAlignment="1">
      <alignment vertical="center"/>
    </xf>
    <xf numFmtId="183" fontId="9" fillId="37" borderId="13" xfId="87" applyNumberFormat="1" applyFont="1" applyFill="1" applyBorder="1" applyAlignment="1">
      <alignment vertical="center"/>
    </xf>
    <xf numFmtId="183" fontId="9" fillId="37" borderId="14" xfId="87" applyNumberFormat="1" applyFont="1" applyFill="1" applyBorder="1" applyAlignment="1">
      <alignment vertical="center"/>
    </xf>
    <xf numFmtId="183" fontId="9" fillId="0" borderId="13" xfId="87" applyNumberFormat="1" applyFont="1" applyBorder="1" applyAlignment="1">
      <alignment vertical="center"/>
    </xf>
    <xf numFmtId="183" fontId="9" fillId="0" borderId="14" xfId="87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83" fontId="18" fillId="37" borderId="13" xfId="87" applyNumberFormat="1" applyFont="1" applyFill="1" applyBorder="1" applyAlignment="1">
      <alignment vertical="center"/>
    </xf>
    <xf numFmtId="183" fontId="18" fillId="37" borderId="14" xfId="87" applyNumberFormat="1" applyFont="1" applyFill="1" applyBorder="1" applyAlignment="1">
      <alignment vertical="center"/>
    </xf>
    <xf numFmtId="0" fontId="18" fillId="0" borderId="35" xfId="0" applyFont="1" applyBorder="1" applyAlignment="1">
      <alignment horizontal="left" vertical="center" wrapText="1" indent="1"/>
    </xf>
    <xf numFmtId="0" fontId="18" fillId="0" borderId="41" xfId="0" applyFont="1" applyBorder="1" applyAlignment="1">
      <alignment vertical="center"/>
    </xf>
    <xf numFmtId="183" fontId="8" fillId="0" borderId="42" xfId="87" applyNumberFormat="1" applyFont="1" applyBorder="1" applyAlignment="1">
      <alignment vertical="center"/>
    </xf>
    <xf numFmtId="183" fontId="8" fillId="0" borderId="43" xfId="87" applyNumberFormat="1" applyFont="1" applyBorder="1" applyAlignment="1">
      <alignment vertical="center"/>
    </xf>
    <xf numFmtId="183" fontId="8" fillId="0" borderId="44" xfId="87" applyNumberFormat="1" applyFont="1" applyBorder="1" applyAlignment="1">
      <alignment vertical="center"/>
    </xf>
    <xf numFmtId="183" fontId="8" fillId="0" borderId="24" xfId="87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83" fontId="8" fillId="0" borderId="0" xfId="87" applyNumberFormat="1" applyFont="1" applyBorder="1" applyAlignment="1">
      <alignment vertical="center"/>
    </xf>
    <xf numFmtId="183" fontId="9" fillId="0" borderId="25" xfId="87" applyNumberFormat="1" applyFont="1" applyBorder="1" applyAlignment="1">
      <alignment vertical="center"/>
    </xf>
    <xf numFmtId="183" fontId="9" fillId="0" borderId="26" xfId="87" applyNumberFormat="1" applyFont="1" applyBorder="1" applyAlignment="1">
      <alignment vertical="center"/>
    </xf>
    <xf numFmtId="9" fontId="9" fillId="0" borderId="11" xfId="80" applyFont="1" applyFill="1" applyBorder="1" applyAlignment="1">
      <alignment horizontal="center" vertical="center"/>
    </xf>
    <xf numFmtId="183" fontId="9" fillId="0" borderId="11" xfId="87" applyNumberFormat="1" applyFont="1" applyBorder="1" applyAlignment="1">
      <alignment vertical="center"/>
    </xf>
    <xf numFmtId="9" fontId="9" fillId="37" borderId="11" xfId="80" applyFont="1" applyFill="1" applyBorder="1" applyAlignment="1">
      <alignment horizontal="center" vertical="center"/>
    </xf>
    <xf numFmtId="9" fontId="9" fillId="0" borderId="39" xfId="80" applyFont="1" applyFill="1" applyBorder="1" applyAlignment="1">
      <alignment horizontal="center" vertical="center"/>
    </xf>
    <xf numFmtId="183" fontId="8" fillId="0" borderId="45" xfId="87" applyNumberFormat="1" applyFont="1" applyBorder="1" applyAlignment="1">
      <alignment vertical="center"/>
    </xf>
    <xf numFmtId="183" fontId="8" fillId="0" borderId="25" xfId="87" applyNumberFormat="1" applyFont="1" applyBorder="1" applyAlignment="1">
      <alignment vertical="center"/>
    </xf>
    <xf numFmtId="183" fontId="9" fillId="37" borderId="12" xfId="87" applyNumberFormat="1" applyFont="1" applyFill="1" applyBorder="1" applyAlignment="1">
      <alignment vertical="center"/>
    </xf>
    <xf numFmtId="183" fontId="9" fillId="0" borderId="12" xfId="87" applyNumberFormat="1" applyFont="1" applyBorder="1" applyAlignment="1">
      <alignment vertical="center"/>
    </xf>
    <xf numFmtId="183" fontId="18" fillId="37" borderId="12" xfId="87" applyNumberFormat="1" applyFont="1" applyFill="1" applyBorder="1" applyAlignment="1">
      <alignment vertical="center"/>
    </xf>
    <xf numFmtId="183" fontId="8" fillId="0" borderId="12" xfId="87" applyNumberFormat="1" applyFont="1" applyBorder="1" applyAlignment="1">
      <alignment vertical="center"/>
    </xf>
    <xf numFmtId="183" fontId="18" fillId="37" borderId="46" xfId="87" applyNumberFormat="1" applyFont="1" applyFill="1" applyBorder="1" applyAlignment="1">
      <alignment vertical="center"/>
    </xf>
    <xf numFmtId="183" fontId="18" fillId="37" borderId="28" xfId="87" applyNumberFormat="1" applyFont="1" applyFill="1" applyBorder="1" applyAlignment="1">
      <alignment vertical="center"/>
    </xf>
    <xf numFmtId="183" fontId="18" fillId="37" borderId="29" xfId="87" applyNumberFormat="1" applyFont="1" applyFill="1" applyBorder="1" applyAlignment="1">
      <alignment vertical="center"/>
    </xf>
    <xf numFmtId="183" fontId="9" fillId="0" borderId="45" xfId="87" applyNumberFormat="1" applyFont="1" applyBorder="1" applyAlignment="1">
      <alignment vertical="center"/>
    </xf>
    <xf numFmtId="171" fontId="9" fillId="0" borderId="0" xfId="87" applyFont="1" applyAlignment="1">
      <alignment vertical="center"/>
    </xf>
    <xf numFmtId="171" fontId="8" fillId="0" borderId="0" xfId="87" applyFont="1" applyAlignment="1">
      <alignment vertical="center"/>
    </xf>
    <xf numFmtId="171" fontId="9" fillId="0" borderId="11" xfId="0" applyNumberFormat="1" applyFont="1" applyBorder="1" applyAlignment="1">
      <alignment horizontal="left" vertical="center"/>
    </xf>
    <xf numFmtId="0" fontId="8" fillId="0" borderId="23" xfId="64" applyFont="1" applyBorder="1" applyAlignment="1">
      <alignment horizontal="left"/>
      <protection/>
    </xf>
    <xf numFmtId="171" fontId="8" fillId="0" borderId="25" xfId="87" applyFont="1" applyBorder="1" applyAlignment="1">
      <alignment vertical="center"/>
    </xf>
    <xf numFmtId="171" fontId="9" fillId="0" borderId="39" xfId="0" applyNumberFormat="1" applyFont="1" applyBorder="1" applyAlignment="1">
      <alignment horizontal="left" vertical="center"/>
    </xf>
    <xf numFmtId="171" fontId="9" fillId="0" borderId="0" xfId="0" applyNumberFormat="1" applyFont="1" applyBorder="1" applyAlignment="1">
      <alignment horizontal="left" vertical="center"/>
    </xf>
    <xf numFmtId="171" fontId="9" fillId="0" borderId="0" xfId="87" applyFont="1" applyFill="1" applyAlignment="1">
      <alignment vertical="center"/>
    </xf>
    <xf numFmtId="171" fontId="9" fillId="0" borderId="39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171" fontId="8" fillId="0" borderId="35" xfId="0" applyNumberFormat="1" applyFont="1" applyBorder="1" applyAlignment="1">
      <alignment horizontal="center" vertical="center" wrapText="1"/>
    </xf>
    <xf numFmtId="171" fontId="8" fillId="0" borderId="45" xfId="87" applyFont="1" applyBorder="1" applyAlignment="1">
      <alignment vertical="center"/>
    </xf>
    <xf numFmtId="183" fontId="9" fillId="0" borderId="11" xfId="87" applyNumberFormat="1" applyFont="1" applyFill="1" applyBorder="1" applyAlignment="1">
      <alignment vertical="center"/>
    </xf>
    <xf numFmtId="183" fontId="9" fillId="37" borderId="39" xfId="87" applyNumberFormat="1" applyFont="1" applyFill="1" applyBorder="1" applyAlignment="1">
      <alignment vertical="center"/>
    </xf>
    <xf numFmtId="183" fontId="9" fillId="0" borderId="46" xfId="87" applyNumberFormat="1" applyFont="1" applyFill="1" applyBorder="1" applyAlignment="1">
      <alignment vertical="center"/>
    </xf>
    <xf numFmtId="183" fontId="9" fillId="0" borderId="28" xfId="87" applyNumberFormat="1" applyFont="1" applyFill="1" applyBorder="1" applyAlignment="1">
      <alignment vertical="center"/>
    </xf>
    <xf numFmtId="183" fontId="9" fillId="0" borderId="29" xfId="87" applyNumberFormat="1" applyFont="1" applyFill="1" applyBorder="1" applyAlignment="1">
      <alignment vertical="center"/>
    </xf>
    <xf numFmtId="183" fontId="8" fillId="0" borderId="35" xfId="0" applyNumberFormat="1" applyFont="1" applyBorder="1" applyAlignment="1">
      <alignment horizontal="center" vertical="center" wrapText="1"/>
    </xf>
    <xf numFmtId="183" fontId="9" fillId="0" borderId="10" xfId="87" applyNumberFormat="1" applyFont="1" applyFill="1" applyBorder="1" applyAlignment="1">
      <alignment vertical="center"/>
    </xf>
    <xf numFmtId="183" fontId="9" fillId="0" borderId="27" xfId="87" applyNumberFormat="1" applyFont="1" applyFill="1" applyBorder="1" applyAlignment="1">
      <alignment vertical="center"/>
    </xf>
    <xf numFmtId="198" fontId="9" fillId="0" borderId="0" xfId="66" applyNumberFormat="1" applyFont="1" applyBorder="1" applyAlignment="1">
      <alignment horizontal="right"/>
      <protection/>
    </xf>
    <xf numFmtId="3" fontId="9" fillId="37" borderId="0" xfId="66" applyNumberFormat="1" applyFont="1" applyFill="1" applyBorder="1" applyAlignment="1" applyProtection="1">
      <alignment horizontal="right"/>
      <protection/>
    </xf>
    <xf numFmtId="198" fontId="9" fillId="0" borderId="0" xfId="66" applyNumberFormat="1" applyFont="1" applyBorder="1" applyAlignment="1" applyProtection="1">
      <alignment horizontal="right"/>
      <protection/>
    </xf>
    <xf numFmtId="182" fontId="9" fillId="0" borderId="0" xfId="80" applyNumberFormat="1" applyFont="1" applyBorder="1" applyAlignment="1" applyProtection="1">
      <alignment horizontal="right"/>
      <protection/>
    </xf>
    <xf numFmtId="3" fontId="8" fillId="0" borderId="33" xfId="66" applyNumberFormat="1" applyFont="1" applyBorder="1" applyAlignment="1" applyProtection="1">
      <alignment horizontal="right"/>
      <protection/>
    </xf>
    <xf numFmtId="181" fontId="32" fillId="0" borderId="0" xfId="66" applyFont="1" applyBorder="1">
      <alignment/>
      <protection/>
    </xf>
    <xf numFmtId="3" fontId="32" fillId="0" borderId="0" xfId="66" applyNumberFormat="1" applyFont="1" applyBorder="1" applyAlignment="1" applyProtection="1">
      <alignment horizontal="right"/>
      <protection/>
    </xf>
    <xf numFmtId="181" fontId="9" fillId="0" borderId="0" xfId="66" applyFont="1" applyBorder="1" applyAlignment="1">
      <alignment horizontal="right"/>
      <protection/>
    </xf>
    <xf numFmtId="181" fontId="8" fillId="0" borderId="33" xfId="66" applyFont="1" applyFill="1" applyBorder="1" applyAlignment="1">
      <alignment horizontal="left"/>
      <protection/>
    </xf>
    <xf numFmtId="181" fontId="8" fillId="0" borderId="33" xfId="66" applyFont="1" applyFill="1" applyBorder="1">
      <alignment/>
      <protection/>
    </xf>
    <xf numFmtId="0" fontId="8" fillId="0" borderId="47" xfId="0" applyFont="1" applyBorder="1" applyAlignment="1">
      <alignment vertical="center"/>
    </xf>
    <xf numFmtId="183" fontId="8" fillId="0" borderId="11" xfId="88" applyNumberFormat="1" applyFont="1" applyBorder="1" applyAlignment="1">
      <alignment vertical="center"/>
    </xf>
    <xf numFmtId="183" fontId="9" fillId="0" borderId="39" xfId="88" applyNumberFormat="1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183" fontId="8" fillId="0" borderId="49" xfId="88" applyNumberFormat="1" applyFont="1" applyBorder="1" applyAlignment="1">
      <alignment vertical="center"/>
    </xf>
    <xf numFmtId="183" fontId="8" fillId="0" borderId="17" xfId="88" applyNumberFormat="1" applyFont="1" applyBorder="1" applyAlignment="1">
      <alignment vertical="center"/>
    </xf>
    <xf numFmtId="183" fontId="8" fillId="0" borderId="18" xfId="88" applyNumberFormat="1" applyFont="1" applyBorder="1" applyAlignment="1">
      <alignment vertical="center"/>
    </xf>
    <xf numFmtId="183" fontId="9" fillId="0" borderId="46" xfId="88" applyNumberFormat="1" applyFont="1" applyBorder="1" applyAlignment="1">
      <alignment vertical="center"/>
    </xf>
    <xf numFmtId="0" fontId="8" fillId="0" borderId="31" xfId="74" applyFont="1" applyFill="1" applyBorder="1" applyAlignment="1">
      <alignment/>
      <protection/>
    </xf>
    <xf numFmtId="0" fontId="8" fillId="0" borderId="31" xfId="74" applyFont="1" applyFill="1" applyBorder="1" applyAlignment="1">
      <alignment vertical="center" wrapText="1"/>
      <protection/>
    </xf>
    <xf numFmtId="0" fontId="9" fillId="0" borderId="31" xfId="74" applyFont="1" applyFill="1" applyBorder="1" applyAlignment="1">
      <alignment/>
      <protection/>
    </xf>
    <xf numFmtId="0" fontId="9" fillId="0" borderId="47" xfId="0" applyFont="1" applyBorder="1" applyAlignment="1">
      <alignment vertical="center"/>
    </xf>
    <xf numFmtId="183" fontId="9" fillId="0" borderId="50" xfId="88" applyNumberFormat="1" applyFont="1" applyBorder="1" applyAlignment="1">
      <alignment vertical="center"/>
    </xf>
    <xf numFmtId="183" fontId="8" fillId="0" borderId="50" xfId="88" applyNumberFormat="1" applyFont="1" applyBorder="1" applyAlignment="1">
      <alignment vertical="center"/>
    </xf>
    <xf numFmtId="183" fontId="8" fillId="0" borderId="51" xfId="88" applyNumberFormat="1" applyFont="1" applyBorder="1" applyAlignment="1">
      <alignment vertical="center"/>
    </xf>
    <xf numFmtId="183" fontId="9" fillId="0" borderId="45" xfId="88" applyNumberFormat="1" applyFont="1" applyBorder="1" applyAlignment="1">
      <alignment vertical="center"/>
    </xf>
    <xf numFmtId="0" fontId="8" fillId="37" borderId="52" xfId="0" applyFont="1" applyFill="1" applyBorder="1" applyAlignment="1" quotePrefix="1">
      <alignment vertical="center" wrapText="1"/>
    </xf>
    <xf numFmtId="0" fontId="18" fillId="0" borderId="52" xfId="0" applyFont="1" applyFill="1" applyBorder="1" applyAlignment="1" quotePrefix="1">
      <alignment vertical="center" wrapText="1"/>
    </xf>
    <xf numFmtId="0" fontId="9" fillId="37" borderId="52" xfId="0" applyFont="1" applyFill="1" applyBorder="1" applyAlignment="1" quotePrefix="1">
      <alignment vertical="center" wrapText="1"/>
    </xf>
    <xf numFmtId="0" fontId="12" fillId="0" borderId="15" xfId="0" applyFont="1" applyBorder="1" applyAlignment="1">
      <alignment vertical="center"/>
    </xf>
    <xf numFmtId="183" fontId="8" fillId="0" borderId="32" xfId="88" applyNumberFormat="1" applyFont="1" applyBorder="1" applyAlignment="1">
      <alignment vertical="center"/>
    </xf>
    <xf numFmtId="183" fontId="12" fillId="0" borderId="32" xfId="88" applyNumberFormat="1" applyFont="1" applyBorder="1" applyAlignment="1">
      <alignment vertical="center"/>
    </xf>
    <xf numFmtId="0" fontId="9" fillId="0" borderId="11" xfId="74" applyFont="1" applyFill="1" applyBorder="1" applyAlignment="1">
      <alignment wrapText="1"/>
      <protection/>
    </xf>
    <xf numFmtId="0" fontId="8" fillId="0" borderId="11" xfId="74" applyFont="1" applyFill="1" applyBorder="1" applyAlignment="1">
      <alignment wrapText="1"/>
      <protection/>
    </xf>
    <xf numFmtId="183" fontId="12" fillId="0" borderId="53" xfId="88" applyNumberFormat="1" applyFont="1" applyBorder="1" applyAlignment="1">
      <alignment vertical="center"/>
    </xf>
    <xf numFmtId="183" fontId="12" fillId="0" borderId="43" xfId="88" applyNumberFormat="1" applyFont="1" applyBorder="1" applyAlignment="1">
      <alignment vertical="center"/>
    </xf>
    <xf numFmtId="0" fontId="8" fillId="0" borderId="52" xfId="0" applyFont="1" applyFill="1" applyBorder="1" applyAlignment="1" quotePrefix="1">
      <alignment vertical="center" wrapText="1"/>
    </xf>
    <xf numFmtId="0" fontId="12" fillId="0" borderId="2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5" fillId="0" borderId="0" xfId="70" applyFont="1" applyBorder="1" applyAlignment="1" quotePrefix="1">
      <alignment horizontal="left" vertical="center"/>
      <protection/>
    </xf>
    <xf numFmtId="0" fontId="19" fillId="37" borderId="52" xfId="0" applyFont="1" applyFill="1" applyBorder="1" applyAlignment="1" quotePrefix="1">
      <alignment vertical="center" wrapText="1"/>
    </xf>
    <xf numFmtId="0" fontId="19" fillId="0" borderId="11" xfId="74" applyFont="1" applyFill="1" applyBorder="1" applyAlignment="1">
      <alignment wrapText="1"/>
      <protection/>
    </xf>
    <xf numFmtId="181" fontId="17" fillId="0" borderId="0" xfId="68" applyFont="1" applyFill="1" applyBorder="1" applyAlignment="1">
      <alignment vertical="center"/>
      <protection/>
    </xf>
    <xf numFmtId="0" fontId="17" fillId="0" borderId="30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183" fontId="8" fillId="0" borderId="11" xfId="0" applyNumberFormat="1" applyFont="1" applyFill="1" applyBorder="1" applyAlignment="1">
      <alignment vertical="center"/>
    </xf>
    <xf numFmtId="0" fontId="8" fillId="0" borderId="54" xfId="0" applyFont="1" applyFill="1" applyBorder="1" applyAlignment="1" quotePrefix="1">
      <alignment vertical="center" wrapText="1"/>
    </xf>
    <xf numFmtId="0" fontId="8" fillId="0" borderId="39" xfId="74" applyFont="1" applyFill="1" applyBorder="1" applyAlignment="1">
      <alignment wrapText="1"/>
      <protection/>
    </xf>
    <xf numFmtId="183" fontId="8" fillId="0" borderId="39" xfId="0" applyNumberFormat="1" applyFont="1" applyFill="1" applyBorder="1" applyAlignment="1">
      <alignment vertical="center"/>
    </xf>
    <xf numFmtId="183" fontId="8" fillId="0" borderId="28" xfId="0" applyNumberFormat="1" applyFont="1" applyFill="1" applyBorder="1" applyAlignment="1">
      <alignment vertical="center"/>
    </xf>
    <xf numFmtId="183" fontId="8" fillId="0" borderId="29" xfId="0" applyNumberFormat="1" applyFont="1" applyFill="1" applyBorder="1" applyAlignment="1">
      <alignment vertical="center"/>
    </xf>
    <xf numFmtId="183" fontId="17" fillId="0" borderId="45" xfId="0" applyNumberFormat="1" applyFont="1" applyFill="1" applyBorder="1" applyAlignment="1">
      <alignment vertical="center"/>
    </xf>
    <xf numFmtId="183" fontId="8" fillId="0" borderId="12" xfId="0" applyNumberFormat="1" applyFont="1" applyFill="1" applyBorder="1" applyAlignment="1">
      <alignment vertical="center"/>
    </xf>
    <xf numFmtId="183" fontId="9" fillId="0" borderId="12" xfId="0" applyNumberFormat="1" applyFont="1" applyFill="1" applyBorder="1" applyAlignment="1">
      <alignment vertical="center"/>
    </xf>
    <xf numFmtId="183" fontId="8" fillId="0" borderId="12" xfId="0" applyNumberFormat="1" applyFont="1" applyBorder="1" applyAlignment="1">
      <alignment vertical="center"/>
    </xf>
    <xf numFmtId="183" fontId="9" fillId="0" borderId="12" xfId="0" applyNumberFormat="1" applyFont="1" applyBorder="1" applyAlignment="1">
      <alignment vertical="center"/>
    </xf>
    <xf numFmtId="183" fontId="19" fillId="0" borderId="12" xfId="0" applyNumberFormat="1" applyFont="1" applyFill="1" applyBorder="1" applyAlignment="1">
      <alignment vertical="center"/>
    </xf>
    <xf numFmtId="183" fontId="19" fillId="0" borderId="12" xfId="0" applyNumberFormat="1" applyFont="1" applyBorder="1" applyAlignment="1">
      <alignment vertical="center"/>
    </xf>
    <xf numFmtId="183" fontId="8" fillId="0" borderId="46" xfId="0" applyNumberFormat="1" applyFont="1" applyFill="1" applyBorder="1" applyAlignment="1">
      <alignment vertical="center"/>
    </xf>
    <xf numFmtId="183" fontId="9" fillId="37" borderId="12" xfId="88" applyNumberFormat="1" applyFont="1" applyFill="1" applyBorder="1" applyAlignment="1">
      <alignment vertical="center"/>
    </xf>
    <xf numFmtId="183" fontId="9" fillId="0" borderId="23" xfId="88" applyNumberFormat="1" applyFont="1" applyBorder="1" applyAlignment="1">
      <alignment vertical="center"/>
    </xf>
    <xf numFmtId="183" fontId="9" fillId="37" borderId="11" xfId="88" applyNumberFormat="1" applyFont="1" applyFill="1" applyBorder="1" applyAlignment="1">
      <alignment vertical="center"/>
    </xf>
    <xf numFmtId="3" fontId="9" fillId="0" borderId="34" xfId="66" applyNumberFormat="1" applyFont="1" applyFill="1" applyBorder="1" applyAlignment="1">
      <alignment horizontal="right"/>
      <protection/>
    </xf>
    <xf numFmtId="9" fontId="9" fillId="0" borderId="41" xfId="8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183" fontId="9" fillId="37" borderId="11" xfId="0" applyNumberFormat="1" applyFont="1" applyFill="1" applyBorder="1" applyAlignment="1">
      <alignment vertical="center"/>
    </xf>
    <xf numFmtId="171" fontId="9" fillId="0" borderId="36" xfId="88" applyFont="1" applyBorder="1" applyAlignment="1">
      <alignment vertical="center"/>
    </xf>
    <xf numFmtId="171" fontId="9" fillId="0" borderId="38" xfId="88" applyFont="1" applyBorder="1" applyAlignment="1">
      <alignment vertical="center"/>
    </xf>
    <xf numFmtId="171" fontId="9" fillId="0" borderId="37" xfId="88" applyFont="1" applyBorder="1" applyAlignment="1">
      <alignment vertical="center"/>
    </xf>
    <xf numFmtId="0" fontId="11" fillId="0" borderId="0" xfId="0" applyFont="1" applyAlignment="1">
      <alignment vertical="center"/>
    </xf>
    <xf numFmtId="183" fontId="11" fillId="0" borderId="45" xfId="88" applyNumberFormat="1" applyFont="1" applyBorder="1" applyAlignment="1">
      <alignment vertical="center"/>
    </xf>
    <xf numFmtId="183" fontId="11" fillId="0" borderId="25" xfId="88" applyNumberFormat="1" applyFont="1" applyBorder="1" applyAlignment="1">
      <alignment vertical="center"/>
    </xf>
    <xf numFmtId="183" fontId="11" fillId="0" borderId="26" xfId="88" applyNumberFormat="1" applyFont="1" applyBorder="1" applyAlignment="1">
      <alignment vertical="center"/>
    </xf>
    <xf numFmtId="183" fontId="11" fillId="0" borderId="23" xfId="88" applyNumberFormat="1" applyFont="1" applyBorder="1" applyAlignment="1">
      <alignment vertical="center"/>
    </xf>
    <xf numFmtId="183" fontId="11" fillId="37" borderId="12" xfId="88" applyNumberFormat="1" applyFont="1" applyFill="1" applyBorder="1" applyAlignment="1">
      <alignment vertical="center"/>
    </xf>
    <xf numFmtId="183" fontId="11" fillId="37" borderId="13" xfId="88" applyNumberFormat="1" applyFont="1" applyFill="1" applyBorder="1" applyAlignment="1">
      <alignment vertical="center"/>
    </xf>
    <xf numFmtId="183" fontId="11" fillId="37" borderId="14" xfId="88" applyNumberFormat="1" applyFont="1" applyFill="1" applyBorder="1" applyAlignment="1">
      <alignment vertical="center"/>
    </xf>
    <xf numFmtId="183" fontId="11" fillId="37" borderId="11" xfId="88" applyNumberFormat="1" applyFont="1" applyFill="1" applyBorder="1" applyAlignment="1">
      <alignment vertical="center"/>
    </xf>
    <xf numFmtId="183" fontId="11" fillId="0" borderId="12" xfId="88" applyNumberFormat="1" applyFont="1" applyBorder="1" applyAlignment="1">
      <alignment vertical="center"/>
    </xf>
    <xf numFmtId="183" fontId="11" fillId="0" borderId="13" xfId="88" applyNumberFormat="1" applyFont="1" applyBorder="1" applyAlignment="1">
      <alignment vertical="center"/>
    </xf>
    <xf numFmtId="183" fontId="11" fillId="0" borderId="14" xfId="88" applyNumberFormat="1" applyFont="1" applyBorder="1" applyAlignment="1">
      <alignment vertical="center"/>
    </xf>
    <xf numFmtId="183" fontId="11" fillId="0" borderId="11" xfId="88" applyNumberFormat="1" applyFont="1" applyFill="1" applyBorder="1" applyAlignment="1">
      <alignment vertical="center"/>
    </xf>
    <xf numFmtId="183" fontId="11" fillId="0" borderId="46" xfId="88" applyNumberFormat="1" applyFont="1" applyBorder="1" applyAlignment="1">
      <alignment vertical="center"/>
    </xf>
    <xf numFmtId="183" fontId="11" fillId="0" borderId="28" xfId="88" applyNumberFormat="1" applyFont="1" applyBorder="1" applyAlignment="1">
      <alignment vertical="center"/>
    </xf>
    <xf numFmtId="183" fontId="11" fillId="0" borderId="29" xfId="88" applyNumberFormat="1" applyFont="1" applyBorder="1" applyAlignment="1">
      <alignment vertical="center"/>
    </xf>
    <xf numFmtId="183" fontId="11" fillId="0" borderId="39" xfId="88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183" fontId="9" fillId="37" borderId="56" xfId="88" applyNumberFormat="1" applyFont="1" applyFill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1" xfId="74" applyFont="1" applyFill="1" applyBorder="1" applyAlignment="1">
      <alignment horizontal="left" wrapText="1" indent="1"/>
      <protection/>
    </xf>
    <xf numFmtId="0" fontId="11" fillId="0" borderId="23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183" fontId="9" fillId="0" borderId="12" xfId="88" applyNumberFormat="1" applyFont="1" applyFill="1" applyBorder="1" applyAlignment="1">
      <alignment vertical="center"/>
    </xf>
    <xf numFmtId="183" fontId="9" fillId="0" borderId="13" xfId="88" applyNumberFormat="1" applyFont="1" applyFill="1" applyBorder="1" applyAlignment="1">
      <alignment vertical="center"/>
    </xf>
    <xf numFmtId="0" fontId="9" fillId="0" borderId="27" xfId="74" applyFont="1" applyFill="1" applyBorder="1" applyAlignment="1">
      <alignment/>
      <protection/>
    </xf>
    <xf numFmtId="0" fontId="24" fillId="0" borderId="47" xfId="74" applyFont="1" applyBorder="1" applyAlignment="1">
      <alignment vertical="center" wrapText="1"/>
      <protection/>
    </xf>
    <xf numFmtId="0" fontId="24" fillId="0" borderId="11" xfId="67" applyFont="1" applyFill="1" applyBorder="1" applyAlignment="1">
      <alignment horizontal="left" vertical="center" wrapText="1"/>
      <protection/>
    </xf>
    <xf numFmtId="183" fontId="19" fillId="0" borderId="10" xfId="88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3" fontId="12" fillId="0" borderId="0" xfId="0" applyNumberFormat="1" applyFont="1" applyAlignment="1">
      <alignment vertical="center"/>
    </xf>
    <xf numFmtId="0" fontId="12" fillId="0" borderId="0" xfId="0" applyFont="1" applyFill="1" applyAlignment="1">
      <alignment vertical="center"/>
    </xf>
    <xf numFmtId="0" fontId="18" fillId="0" borderId="11" xfId="74" applyFont="1" applyFill="1" applyBorder="1" applyAlignment="1">
      <alignment wrapText="1"/>
      <protection/>
    </xf>
    <xf numFmtId="183" fontId="18" fillId="0" borderId="12" xfId="0" applyNumberFormat="1" applyFont="1" applyFill="1" applyBorder="1" applyAlignment="1">
      <alignment vertical="center"/>
    </xf>
    <xf numFmtId="183" fontId="18" fillId="0" borderId="13" xfId="0" applyNumberFormat="1" applyFont="1" applyFill="1" applyBorder="1" applyAlignment="1">
      <alignment vertical="center"/>
    </xf>
    <xf numFmtId="183" fontId="18" fillId="0" borderId="14" xfId="0" applyNumberFormat="1" applyFont="1" applyFill="1" applyBorder="1" applyAlignment="1">
      <alignment vertical="center"/>
    </xf>
    <xf numFmtId="183" fontId="18" fillId="0" borderId="11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83" fontId="9" fillId="0" borderId="11" xfId="0" applyNumberFormat="1" applyFont="1" applyFill="1" applyBorder="1" applyAlignment="1">
      <alignment vertical="center"/>
    </xf>
    <xf numFmtId="0" fontId="37" fillId="0" borderId="0" xfId="70" applyFont="1" applyFill="1" applyAlignment="1" quotePrefix="1">
      <alignment horizontal="center" vertical="center"/>
      <protection/>
    </xf>
    <xf numFmtId="3" fontId="9" fillId="0" borderId="0" xfId="66" applyNumberFormat="1" applyFont="1" applyFill="1" applyBorder="1" applyAlignment="1">
      <alignment horizontal="center"/>
      <protection/>
    </xf>
    <xf numFmtId="171" fontId="11" fillId="0" borderId="0" xfId="88" applyFont="1" applyBorder="1" applyAlignment="1">
      <alignment vertical="center"/>
    </xf>
    <xf numFmtId="171" fontId="11" fillId="0" borderId="46" xfId="88" applyFont="1" applyBorder="1" applyAlignment="1">
      <alignment vertical="center"/>
    </xf>
    <xf numFmtId="171" fontId="11" fillId="0" borderId="28" xfId="88" applyFont="1" applyBorder="1" applyAlignment="1">
      <alignment vertical="center"/>
    </xf>
    <xf numFmtId="171" fontId="11" fillId="0" borderId="29" xfId="88" applyFont="1" applyBorder="1" applyAlignment="1">
      <alignment vertical="center"/>
    </xf>
    <xf numFmtId="183" fontId="8" fillId="0" borderId="19" xfId="88" applyNumberFormat="1" applyFont="1" applyBorder="1" applyAlignment="1">
      <alignment vertical="center"/>
    </xf>
    <xf numFmtId="171" fontId="9" fillId="0" borderId="16" xfId="88" applyFont="1" applyBorder="1" applyAlignment="1">
      <alignment vertical="center"/>
    </xf>
    <xf numFmtId="171" fontId="9" fillId="0" borderId="17" xfId="88" applyFont="1" applyBorder="1" applyAlignment="1">
      <alignment vertical="center"/>
    </xf>
    <xf numFmtId="171" fontId="9" fillId="0" borderId="18" xfId="88" applyFont="1" applyBorder="1" applyAlignment="1">
      <alignment vertical="center"/>
    </xf>
    <xf numFmtId="171" fontId="8" fillId="0" borderId="57" xfId="88" applyFont="1" applyBorder="1" applyAlignment="1">
      <alignment vertical="center"/>
    </xf>
    <xf numFmtId="0" fontId="9" fillId="0" borderId="35" xfId="0" applyFont="1" applyBorder="1" applyAlignment="1">
      <alignment horizontal="center" vertical="center" wrapText="1"/>
    </xf>
    <xf numFmtId="17" fontId="16" fillId="38" borderId="3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0" borderId="0" xfId="70" applyAlignment="1">
      <alignment horizontal="center" vertical="center"/>
      <protection/>
    </xf>
    <xf numFmtId="0" fontId="5" fillId="0" borderId="0" xfId="70" applyFill="1" applyAlignment="1">
      <alignment vertical="center"/>
      <protection/>
    </xf>
    <xf numFmtId="0" fontId="5" fillId="0" borderId="0" xfId="70" applyBorder="1" applyAlignment="1">
      <alignment vertical="center"/>
      <protection/>
    </xf>
    <xf numFmtId="0" fontId="5" fillId="0" borderId="0" xfId="70" applyAlignment="1">
      <alignment vertical="center"/>
      <protection/>
    </xf>
    <xf numFmtId="0" fontId="37" fillId="0" borderId="0" xfId="70" applyFont="1" applyAlignment="1" quotePrefix="1">
      <alignment horizontal="center" vertical="center"/>
      <protection/>
    </xf>
    <xf numFmtId="0" fontId="37" fillId="0" borderId="0" xfId="70" applyFont="1" applyBorder="1" applyAlignment="1">
      <alignment horizontal="center" vertical="center"/>
      <protection/>
    </xf>
    <xf numFmtId="0" fontId="24" fillId="0" borderId="0" xfId="70" applyFont="1" applyFill="1" applyAlignment="1">
      <alignment vertical="center"/>
      <protection/>
    </xf>
    <xf numFmtId="0" fontId="24" fillId="0" borderId="0" xfId="70" applyFont="1" applyAlignment="1">
      <alignment horizontal="right" vertical="center"/>
      <protection/>
    </xf>
    <xf numFmtId="2" fontId="37" fillId="0" borderId="0" xfId="70" applyNumberFormat="1" applyFont="1" applyFill="1" applyAlignment="1">
      <alignment vertical="center"/>
      <protection/>
    </xf>
    <xf numFmtId="0" fontId="34" fillId="0" borderId="0" xfId="70" applyFont="1" applyAlignment="1">
      <alignment vertical="center"/>
      <protection/>
    </xf>
    <xf numFmtId="0" fontId="24" fillId="0" borderId="58" xfId="70" applyFont="1" applyBorder="1" applyAlignment="1">
      <alignment horizontal="center" vertical="center"/>
      <protection/>
    </xf>
    <xf numFmtId="0" fontId="24" fillId="0" borderId="58" xfId="70" applyFont="1" applyFill="1" applyBorder="1" applyAlignment="1">
      <alignment horizontal="center" vertical="center"/>
      <protection/>
    </xf>
    <xf numFmtId="0" fontId="38" fillId="0" borderId="58" xfId="70" applyFont="1" applyBorder="1" applyAlignment="1">
      <alignment vertical="center"/>
      <protection/>
    </xf>
    <xf numFmtId="0" fontId="24" fillId="0" borderId="58" xfId="70" applyFont="1" applyBorder="1" applyAlignment="1">
      <alignment vertical="center"/>
      <protection/>
    </xf>
    <xf numFmtId="0" fontId="5" fillId="0" borderId="58" xfId="70" applyBorder="1" applyAlignment="1">
      <alignment vertical="center"/>
      <protection/>
    </xf>
    <xf numFmtId="0" fontId="24" fillId="0" borderId="0" xfId="70" applyFont="1" applyBorder="1" applyAlignment="1">
      <alignment horizontal="center" vertical="center"/>
      <protection/>
    </xf>
    <xf numFmtId="0" fontId="24" fillId="0" borderId="0" xfId="70" applyFont="1" applyFill="1" applyBorder="1" applyAlignment="1">
      <alignment horizontal="center" vertical="center"/>
      <protection/>
    </xf>
    <xf numFmtId="0" fontId="38" fillId="0" borderId="0" xfId="70" applyFont="1" applyBorder="1" applyAlignment="1">
      <alignment vertical="center"/>
      <protection/>
    </xf>
    <xf numFmtId="0" fontId="24" fillId="0" borderId="0" xfId="70" applyFont="1" applyBorder="1" applyAlignment="1">
      <alignment vertical="center"/>
      <protection/>
    </xf>
    <xf numFmtId="0" fontId="37" fillId="0" borderId="0" xfId="70" applyFont="1" applyFill="1" applyBorder="1" applyAlignment="1">
      <alignment vertical="center"/>
      <protection/>
    </xf>
    <xf numFmtId="10" fontId="24" fillId="0" borderId="0" xfId="70" applyNumberFormat="1" applyFont="1" applyBorder="1" applyAlignment="1">
      <alignment vertical="center"/>
      <protection/>
    </xf>
    <xf numFmtId="0" fontId="37" fillId="0" borderId="0" xfId="70" applyFont="1" applyFill="1" applyAlignment="1">
      <alignment horizontal="left" vertical="center"/>
      <protection/>
    </xf>
    <xf numFmtId="0" fontId="37" fillId="0" borderId="0" xfId="70" applyFont="1" applyFill="1" applyBorder="1" applyAlignment="1">
      <alignment horizontal="right" vertical="center"/>
      <protection/>
    </xf>
    <xf numFmtId="0" fontId="37" fillId="0" borderId="0" xfId="70" applyFont="1" applyBorder="1" applyAlignment="1">
      <alignment horizontal="right" vertical="center"/>
      <protection/>
    </xf>
    <xf numFmtId="0" fontId="24" fillId="0" borderId="58" xfId="70" applyFont="1" applyFill="1" applyBorder="1" applyAlignment="1">
      <alignment vertical="center"/>
      <protection/>
    </xf>
    <xf numFmtId="0" fontId="24" fillId="0" borderId="0" xfId="70" applyFont="1" applyFill="1" applyBorder="1" applyAlignment="1">
      <alignment vertical="center"/>
      <protection/>
    </xf>
    <xf numFmtId="0" fontId="24" fillId="0" borderId="0" xfId="70" applyFont="1" applyAlignment="1">
      <alignment horizontal="center" vertical="center"/>
      <protection/>
    </xf>
    <xf numFmtId="0" fontId="24" fillId="0" borderId="0" xfId="70" applyFont="1" applyAlignment="1">
      <alignment vertical="center"/>
      <protection/>
    </xf>
    <xf numFmtId="0" fontId="37" fillId="0" borderId="0" xfId="70" applyFont="1" applyFill="1" applyAlignment="1">
      <alignment horizontal="center" vertical="center"/>
      <protection/>
    </xf>
    <xf numFmtId="1" fontId="0" fillId="0" borderId="0" xfId="63" applyNumberFormat="1" applyFont="1" applyFill="1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37" fillId="0" borderId="0" xfId="70" applyFont="1" applyAlignment="1">
      <alignment horizontal="center" vertical="center"/>
      <protection/>
    </xf>
    <xf numFmtId="0" fontId="34" fillId="0" borderId="0" xfId="70" applyFont="1" applyAlignment="1">
      <alignment vertical="center"/>
      <protection/>
    </xf>
    <xf numFmtId="0" fontId="37" fillId="0" borderId="0" xfId="70" applyFont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0" fontId="40" fillId="0" borderId="0" xfId="70" applyFont="1" applyAlignment="1">
      <alignment vertical="center"/>
      <protection/>
    </xf>
    <xf numFmtId="0" fontId="39" fillId="0" borderId="35" xfId="70" applyFont="1" applyFill="1" applyBorder="1" applyAlignment="1">
      <alignment vertical="center"/>
      <protection/>
    </xf>
    <xf numFmtId="0" fontId="40" fillId="0" borderId="0" xfId="70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25" fillId="0" borderId="35" xfId="70" applyFont="1" applyFill="1" applyBorder="1" applyAlignment="1">
      <alignment vertical="center"/>
      <protection/>
    </xf>
    <xf numFmtId="0" fontId="25" fillId="0" borderId="47" xfId="74" applyFont="1" applyFill="1" applyBorder="1" applyAlignment="1">
      <alignment vertical="center"/>
      <protection/>
    </xf>
    <xf numFmtId="0" fontId="25" fillId="0" borderId="59" xfId="74" applyFont="1" applyFill="1" applyBorder="1" applyAlignment="1">
      <alignment vertical="center"/>
      <protection/>
    </xf>
    <xf numFmtId="0" fontId="24" fillId="0" borderId="47" xfId="74" applyFont="1" applyBorder="1" applyAlignment="1">
      <alignment vertical="center"/>
      <protection/>
    </xf>
    <xf numFmtId="0" fontId="24" fillId="0" borderId="47" xfId="74" applyFont="1" applyFill="1" applyBorder="1" applyAlignment="1">
      <alignment vertical="center"/>
      <protection/>
    </xf>
    <xf numFmtId="0" fontId="24" fillId="0" borderId="47" xfId="74" applyFont="1" applyFill="1" applyBorder="1" applyAlignment="1">
      <alignment horizontal="left" vertical="center"/>
      <protection/>
    </xf>
    <xf numFmtId="1" fontId="0" fillId="0" borderId="0" xfId="63" applyNumberFormat="1" applyFont="1" applyFill="1" applyBorder="1" applyAlignment="1">
      <alignment vertical="center"/>
      <protection/>
    </xf>
    <xf numFmtId="0" fontId="24" fillId="0" borderId="0" xfId="74" applyFont="1" applyFill="1" applyBorder="1" applyAlignment="1">
      <alignment horizontal="left" vertical="center" wrapText="1"/>
      <protection/>
    </xf>
    <xf numFmtId="0" fontId="41" fillId="0" borderId="23" xfId="74" applyFont="1" applyFill="1" applyBorder="1" applyAlignment="1">
      <alignment vertical="center"/>
      <protection/>
    </xf>
    <xf numFmtId="0" fontId="24" fillId="0" borderId="11" xfId="74" applyFont="1" applyFill="1" applyBorder="1" applyAlignment="1">
      <alignment vertical="center"/>
      <protection/>
    </xf>
    <xf numFmtId="0" fontId="1" fillId="0" borderId="0" xfId="70" applyFont="1" applyAlignment="1">
      <alignment vertical="center"/>
      <protection/>
    </xf>
    <xf numFmtId="0" fontId="24" fillId="0" borderId="39" xfId="74" applyFont="1" applyFill="1" applyBorder="1" applyAlignment="1">
      <alignment vertical="center"/>
      <protection/>
    </xf>
    <xf numFmtId="0" fontId="8" fillId="0" borderId="35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181" fontId="9" fillId="0" borderId="47" xfId="66" applyFont="1" applyBorder="1" applyAlignment="1">
      <alignment vertical="center"/>
      <protection/>
    </xf>
    <xf numFmtId="0" fontId="18" fillId="0" borderId="47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91" fontId="37" fillId="0" borderId="0" xfId="70" applyNumberFormat="1" applyFont="1" applyAlignment="1">
      <alignment vertical="center"/>
      <protection/>
    </xf>
    <xf numFmtId="0" fontId="8" fillId="38" borderId="3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37" borderId="30" xfId="70" applyFont="1" applyFill="1" applyBorder="1" applyAlignment="1" quotePrefix="1">
      <alignment horizontal="center" vertical="center"/>
      <protection/>
    </xf>
    <xf numFmtId="196" fontId="8" fillId="0" borderId="30" xfId="0" applyNumberFormat="1" applyFont="1" applyBorder="1" applyAlignment="1">
      <alignment horizontal="center" vertical="center"/>
    </xf>
    <xf numFmtId="196" fontId="19" fillId="0" borderId="60" xfId="0" applyNumberFormat="1" applyFont="1" applyFill="1" applyBorder="1" applyAlignment="1">
      <alignment horizontal="center" vertical="center"/>
    </xf>
    <xf numFmtId="196" fontId="19" fillId="0" borderId="25" xfId="0" applyNumberFormat="1" applyFont="1" applyFill="1" applyBorder="1" applyAlignment="1">
      <alignment horizontal="center" vertical="center"/>
    </xf>
    <xf numFmtId="196" fontId="19" fillId="0" borderId="26" xfId="0" applyNumberFormat="1" applyFont="1" applyFill="1" applyBorder="1" applyAlignment="1">
      <alignment horizontal="center" vertical="center"/>
    </xf>
    <xf numFmtId="0" fontId="9" fillId="0" borderId="11" xfId="70" applyFont="1" applyFill="1" applyBorder="1" applyAlignment="1" quotePrefix="1">
      <alignment horizontal="right" vertical="center"/>
      <protection/>
    </xf>
    <xf numFmtId="0" fontId="9" fillId="37" borderId="31" xfId="70" applyFont="1" applyFill="1" applyBorder="1" applyAlignment="1" quotePrefix="1">
      <alignment horizontal="right" vertical="center"/>
      <protection/>
    </xf>
    <xf numFmtId="0" fontId="9" fillId="0" borderId="31" xfId="0" applyFont="1" applyFill="1" applyBorder="1" applyAlignment="1">
      <alignment horizontal="left" vertical="center"/>
    </xf>
    <xf numFmtId="196" fontId="9" fillId="37" borderId="19" xfId="0" applyNumberFormat="1" applyFont="1" applyFill="1" applyBorder="1" applyAlignment="1">
      <alignment horizontal="center" vertical="center"/>
    </xf>
    <xf numFmtId="196" fontId="9" fillId="37" borderId="13" xfId="0" applyNumberFormat="1" applyFont="1" applyFill="1" applyBorder="1" applyAlignment="1">
      <alignment horizontal="center" vertical="center"/>
    </xf>
    <xf numFmtId="196" fontId="9" fillId="37" borderId="14" xfId="0" applyNumberFormat="1" applyFont="1" applyFill="1" applyBorder="1" applyAlignment="1">
      <alignment horizontal="center" vertical="center"/>
    </xf>
    <xf numFmtId="0" fontId="9" fillId="0" borderId="39" xfId="70" applyFont="1" applyFill="1" applyBorder="1" applyAlignment="1" quotePrefix="1">
      <alignment horizontal="right" vertical="center"/>
      <protection/>
    </xf>
    <xf numFmtId="0" fontId="9" fillId="0" borderId="27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23" fillId="0" borderId="0" xfId="70" applyFont="1" applyFill="1" applyBorder="1" applyAlignment="1" quotePrefix="1">
      <alignment horizontal="center" vertical="center"/>
      <protection/>
    </xf>
    <xf numFmtId="196" fontId="8" fillId="0" borderId="14" xfId="0" applyNumberFormat="1" applyFont="1" applyFill="1" applyBorder="1" applyAlignment="1">
      <alignment horizontal="center" vertical="center"/>
    </xf>
    <xf numFmtId="196" fontId="8" fillId="0" borderId="29" xfId="0" applyNumberFormat="1" applyFont="1" applyFill="1" applyBorder="1" applyAlignment="1">
      <alignment horizontal="center" vertical="center"/>
    </xf>
    <xf numFmtId="196" fontId="9" fillId="0" borderId="61" xfId="0" applyNumberFormat="1" applyFont="1" applyFill="1" applyBorder="1" applyAlignment="1">
      <alignment horizontal="center" vertical="center"/>
    </xf>
    <xf numFmtId="196" fontId="8" fillId="0" borderId="23" xfId="0" applyNumberFormat="1" applyFont="1" applyBorder="1" applyAlignment="1">
      <alignment horizontal="center" vertical="center"/>
    </xf>
    <xf numFmtId="196" fontId="9" fillId="0" borderId="27" xfId="0" applyNumberFormat="1" applyFont="1" applyFill="1" applyBorder="1" applyAlignment="1">
      <alignment horizontal="center" vertical="center"/>
    </xf>
    <xf numFmtId="196" fontId="23" fillId="0" borderId="0" xfId="0" applyNumberFormat="1" applyFont="1" applyBorder="1" applyAlignment="1">
      <alignment horizontal="center" vertical="center"/>
    </xf>
    <xf numFmtId="196" fontId="23" fillId="0" borderId="0" xfId="0" applyNumberFormat="1" applyFont="1" applyFill="1" applyBorder="1" applyAlignment="1">
      <alignment horizontal="center" vertical="center"/>
    </xf>
    <xf numFmtId="0" fontId="9" fillId="37" borderId="23" xfId="70" applyFont="1" applyFill="1" applyBorder="1" applyAlignment="1" quotePrefix="1">
      <alignment horizontal="right" vertical="center"/>
      <protection/>
    </xf>
    <xf numFmtId="0" fontId="9" fillId="0" borderId="30" xfId="0" applyFont="1" applyFill="1" applyBorder="1" applyAlignment="1">
      <alignment horizontal="left" vertical="center"/>
    </xf>
    <xf numFmtId="0" fontId="9" fillId="37" borderId="11" xfId="70" applyFont="1" applyFill="1" applyBorder="1" applyAlignment="1" quotePrefix="1">
      <alignment horizontal="right" vertical="center"/>
      <protection/>
    </xf>
    <xf numFmtId="0" fontId="9" fillId="37" borderId="39" xfId="70" applyFont="1" applyFill="1" applyBorder="1" applyAlignment="1" quotePrefix="1">
      <alignment horizontal="right" vertical="center"/>
      <protection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196" fontId="9" fillId="0" borderId="12" xfId="0" applyNumberFormat="1" applyFont="1" applyFill="1" applyBorder="1" applyAlignment="1">
      <alignment horizontal="center" vertical="center"/>
    </xf>
    <xf numFmtId="196" fontId="9" fillId="0" borderId="46" xfId="0" applyNumberFormat="1" applyFont="1" applyFill="1" applyBorder="1" applyAlignment="1">
      <alignment horizontal="center" vertical="center"/>
    </xf>
    <xf numFmtId="196" fontId="19" fillId="0" borderId="45" xfId="0" applyNumberFormat="1" applyFont="1" applyFill="1" applyBorder="1" applyAlignment="1">
      <alignment horizontal="center" vertical="center"/>
    </xf>
    <xf numFmtId="196" fontId="43" fillId="0" borderId="0" xfId="0" applyNumberFormat="1" applyFont="1" applyBorder="1" applyAlignment="1">
      <alignment horizontal="center" vertical="center"/>
    </xf>
    <xf numFmtId="0" fontId="9" fillId="37" borderId="31" xfId="70" applyFont="1" applyFill="1" applyBorder="1" applyAlignment="1" quotePrefix="1">
      <alignment horizontal="center" vertical="center"/>
      <protection/>
    </xf>
    <xf numFmtId="0" fontId="37" fillId="0" borderId="0" xfId="70" applyFont="1" applyFill="1" applyBorder="1" applyAlignment="1">
      <alignment horizontal="center" vertical="center"/>
      <protection/>
    </xf>
    <xf numFmtId="196" fontId="8" fillId="0" borderId="62" xfId="0" applyNumberFormat="1" applyFont="1" applyBorder="1" applyAlignment="1">
      <alignment horizontal="left" vertical="center"/>
    </xf>
    <xf numFmtId="0" fontId="8" fillId="0" borderId="24" xfId="70" applyFont="1" applyFill="1" applyBorder="1" applyAlignment="1" quotePrefix="1">
      <alignment horizontal="center" vertical="center"/>
      <protection/>
    </xf>
    <xf numFmtId="196" fontId="19" fillId="0" borderId="42" xfId="0" applyNumberFormat="1" applyFont="1" applyFill="1" applyBorder="1" applyAlignment="1">
      <alignment horizontal="center" vertical="center"/>
    </xf>
    <xf numFmtId="196" fontId="19" fillId="0" borderId="43" xfId="0" applyNumberFormat="1" applyFont="1" applyFill="1" applyBorder="1" applyAlignment="1">
      <alignment horizontal="center" vertical="center"/>
    </xf>
    <xf numFmtId="196" fontId="19" fillId="0" borderId="44" xfId="0" applyNumberFormat="1" applyFont="1" applyFill="1" applyBorder="1" applyAlignment="1">
      <alignment horizontal="center" vertical="center"/>
    </xf>
    <xf numFmtId="196" fontId="8" fillId="0" borderId="24" xfId="0" applyNumberFormat="1" applyFont="1" applyFill="1" applyBorder="1" applyAlignment="1">
      <alignment horizontal="left" vertical="center"/>
    </xf>
    <xf numFmtId="196" fontId="9" fillId="0" borderId="16" xfId="0" applyNumberFormat="1" applyFont="1" applyFill="1" applyBorder="1" applyAlignment="1">
      <alignment horizontal="center" vertical="center"/>
    </xf>
    <xf numFmtId="196" fontId="19" fillId="0" borderId="14" xfId="0" applyNumberFormat="1" applyFont="1" applyFill="1" applyBorder="1" applyAlignment="1">
      <alignment horizontal="center" vertical="center"/>
    </xf>
    <xf numFmtId="196" fontId="19" fillId="0" borderId="19" xfId="0" applyNumberFormat="1" applyFont="1" applyFill="1" applyBorder="1" applyAlignment="1">
      <alignment horizontal="center" vertical="center"/>
    </xf>
    <xf numFmtId="196" fontId="9" fillId="0" borderId="31" xfId="0" applyNumberFormat="1" applyFont="1" applyBorder="1" applyAlignment="1">
      <alignment horizontal="left" vertical="center"/>
    </xf>
    <xf numFmtId="196" fontId="8" fillId="0" borderId="31" xfId="0" applyNumberFormat="1" applyFont="1" applyBorder="1" applyAlignment="1">
      <alignment horizontal="left" vertical="center"/>
    </xf>
    <xf numFmtId="196" fontId="9" fillId="0" borderId="31" xfId="0" applyNumberFormat="1" applyFont="1" applyBorder="1" applyAlignment="1">
      <alignment horizontal="left" vertical="center" wrapText="1"/>
    </xf>
    <xf numFmtId="0" fontId="8" fillId="0" borderId="10" xfId="70" applyFont="1" applyFill="1" applyBorder="1" applyAlignment="1" quotePrefix="1">
      <alignment horizontal="center" vertical="center"/>
      <protection/>
    </xf>
    <xf numFmtId="196" fontId="8" fillId="0" borderId="26" xfId="0" applyNumberFormat="1" applyFont="1" applyFill="1" applyBorder="1" applyAlignment="1">
      <alignment horizontal="center" vertical="center"/>
    </xf>
    <xf numFmtId="196" fontId="12" fillId="0" borderId="31" xfId="0" applyNumberFormat="1" applyFont="1" applyBorder="1" applyAlignment="1">
      <alignment horizontal="left" vertical="center"/>
    </xf>
    <xf numFmtId="0" fontId="8" fillId="37" borderId="23" xfId="70" applyFont="1" applyFill="1" applyBorder="1" applyAlignment="1" quotePrefix="1">
      <alignment horizontal="center" vertical="center"/>
      <protection/>
    </xf>
    <xf numFmtId="0" fontId="8" fillId="37" borderId="11" xfId="70" applyFont="1" applyFill="1" applyBorder="1" applyAlignment="1" quotePrefix="1">
      <alignment horizontal="center" vertical="center"/>
      <protection/>
    </xf>
    <xf numFmtId="0" fontId="9" fillId="37" borderId="11" xfId="70" applyFont="1" applyFill="1" applyBorder="1" applyAlignment="1" quotePrefix="1">
      <alignment horizontal="center" vertical="center"/>
      <protection/>
    </xf>
    <xf numFmtId="196" fontId="8" fillId="0" borderId="1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196" fontId="8" fillId="0" borderId="24" xfId="0" applyNumberFormat="1" applyFont="1" applyBorder="1" applyAlignment="1">
      <alignment horizontal="center" vertical="center"/>
    </xf>
    <xf numFmtId="196" fontId="8" fillId="0" borderId="60" xfId="0" applyNumberFormat="1" applyFont="1" applyFill="1" applyBorder="1" applyAlignment="1">
      <alignment horizontal="center" vertical="center"/>
    </xf>
    <xf numFmtId="196" fontId="8" fillId="0" borderId="25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83" fontId="9" fillId="0" borderId="0" xfId="66" applyNumberFormat="1" applyFont="1" applyBorder="1" applyAlignment="1" applyProtection="1">
      <alignment horizontal="right"/>
      <protection/>
    </xf>
    <xf numFmtId="3" fontId="8" fillId="37" borderId="33" xfId="66" applyNumberFormat="1" applyFont="1" applyFill="1" applyBorder="1" applyAlignment="1" applyProtection="1">
      <alignment horizontal="right"/>
      <protection/>
    </xf>
    <xf numFmtId="0" fontId="8" fillId="0" borderId="3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83" fontId="8" fillId="0" borderId="45" xfId="88" applyNumberFormat="1" applyFont="1" applyBorder="1" applyAlignment="1">
      <alignment vertical="center"/>
    </xf>
    <xf numFmtId="183" fontId="8" fillId="0" borderId="25" xfId="88" applyNumberFormat="1" applyFont="1" applyBorder="1" applyAlignment="1">
      <alignment vertical="center"/>
    </xf>
    <xf numFmtId="183" fontId="8" fillId="0" borderId="26" xfId="88" applyNumberFormat="1" applyFont="1" applyBorder="1" applyAlignment="1">
      <alignment vertical="center"/>
    </xf>
    <xf numFmtId="183" fontId="9" fillId="37" borderId="46" xfId="88" applyNumberFormat="1" applyFont="1" applyFill="1" applyBorder="1" applyAlignment="1">
      <alignment vertical="center"/>
    </xf>
    <xf numFmtId="183" fontId="9" fillId="37" borderId="28" xfId="88" applyNumberFormat="1" applyFont="1" applyFill="1" applyBorder="1" applyAlignment="1">
      <alignment vertical="center"/>
    </xf>
    <xf numFmtId="0" fontId="8" fillId="37" borderId="39" xfId="70" applyFont="1" applyFill="1" applyBorder="1" applyAlignment="1" quotePrefix="1">
      <alignment horizontal="center" vertical="center"/>
      <protection/>
    </xf>
    <xf numFmtId="196" fontId="8" fillId="0" borderId="61" xfId="0" applyNumberFormat="1" applyFont="1" applyFill="1" applyBorder="1" applyAlignment="1">
      <alignment horizontal="center" vertical="center"/>
    </xf>
    <xf numFmtId="196" fontId="8" fillId="0" borderId="28" xfId="0" applyNumberFormat="1" applyFont="1" applyFill="1" applyBorder="1" applyAlignment="1">
      <alignment horizontal="center" vertical="center"/>
    </xf>
    <xf numFmtId="196" fontId="9" fillId="0" borderId="11" xfId="0" applyNumberFormat="1" applyFont="1" applyBorder="1" applyAlignment="1">
      <alignment horizontal="left" vertical="center" wrapText="1"/>
    </xf>
    <xf numFmtId="0" fontId="9" fillId="37" borderId="51" xfId="70" applyFont="1" applyFill="1" applyBorder="1" applyAlignment="1" quotePrefix="1">
      <alignment horizontal="center" vertical="center"/>
      <protection/>
    </xf>
    <xf numFmtId="181" fontId="42" fillId="0" borderId="0" xfId="66" applyFont="1" applyBorder="1" applyAlignment="1">
      <alignment horizontal="center"/>
      <protection/>
    </xf>
    <xf numFmtId="0" fontId="20" fillId="0" borderId="0" xfId="0" applyFont="1" applyBorder="1" applyAlignment="1">
      <alignment vertical="center"/>
    </xf>
    <xf numFmtId="181" fontId="8" fillId="0" borderId="0" xfId="66" applyFont="1" applyBorder="1" applyAlignment="1">
      <alignment/>
      <protection/>
    </xf>
    <xf numFmtId="49" fontId="8" fillId="37" borderId="0" xfId="69" applyNumberFormat="1" applyFont="1" applyFill="1" applyBorder="1" applyAlignment="1" quotePrefix="1">
      <alignment vertical="center"/>
      <protection/>
    </xf>
    <xf numFmtId="181" fontId="28" fillId="0" borderId="0" xfId="66" applyFont="1" applyFill="1" applyBorder="1" applyAlignment="1">
      <alignment/>
      <protection/>
    </xf>
    <xf numFmtId="181" fontId="9" fillId="0" borderId="34" xfId="66" applyFont="1" applyBorder="1" applyAlignment="1">
      <alignment/>
      <protection/>
    </xf>
    <xf numFmtId="181" fontId="8" fillId="0" borderId="33" xfId="66" applyFont="1" applyBorder="1" applyAlignment="1">
      <alignment/>
      <protection/>
    </xf>
    <xf numFmtId="181" fontId="27" fillId="0" borderId="0" xfId="66" applyFont="1" applyBorder="1" applyAlignment="1">
      <alignment/>
      <protection/>
    </xf>
    <xf numFmtId="181" fontId="8" fillId="0" borderId="0" xfId="66" applyFont="1" applyBorder="1" applyAlignment="1">
      <alignment/>
      <protection/>
    </xf>
    <xf numFmtId="0" fontId="8" fillId="37" borderId="0" xfId="70" applyFont="1" applyFill="1" applyBorder="1" applyAlignment="1" quotePrefix="1">
      <alignment vertical="center"/>
      <protection/>
    </xf>
    <xf numFmtId="201" fontId="9" fillId="0" borderId="0" xfId="66" applyNumberFormat="1" applyFont="1" applyFill="1" applyBorder="1" applyAlignment="1" applyProtection="1">
      <alignment horizontal="right"/>
      <protection/>
    </xf>
    <xf numFmtId="3" fontId="8" fillId="0" borderId="33" xfId="66" applyNumberFormat="1" applyFont="1" applyFill="1" applyBorder="1" applyAlignment="1">
      <alignment horizontal="right"/>
      <protection/>
    </xf>
    <xf numFmtId="49" fontId="8" fillId="37" borderId="11" xfId="69" applyNumberFormat="1" applyFont="1" applyFill="1" applyBorder="1" applyAlignment="1" quotePrefix="1">
      <alignment horizontal="center" vertical="center"/>
      <protection/>
    </xf>
    <xf numFmtId="49" fontId="9" fillId="37" borderId="11" xfId="69" applyNumberFormat="1" applyFont="1" applyFill="1" applyBorder="1" applyAlignment="1" quotePrefix="1">
      <alignment horizontal="center" vertical="center"/>
      <protection/>
    </xf>
    <xf numFmtId="0" fontId="9" fillId="0" borderId="0" xfId="74" applyFont="1" applyBorder="1" applyAlignment="1">
      <alignment vertical="center"/>
      <protection/>
    </xf>
    <xf numFmtId="183" fontId="9" fillId="0" borderId="30" xfId="88" applyNumberFormat="1" applyFont="1" applyFill="1" applyBorder="1" applyAlignment="1">
      <alignment vertical="center"/>
    </xf>
    <xf numFmtId="183" fontId="9" fillId="0" borderId="45" xfId="88" applyNumberFormat="1" applyFont="1" applyFill="1" applyBorder="1" applyAlignment="1">
      <alignment vertical="center"/>
    </xf>
    <xf numFmtId="183" fontId="9" fillId="0" borderId="25" xfId="88" applyNumberFormat="1" applyFont="1" applyFill="1" applyBorder="1" applyAlignment="1">
      <alignment vertical="center"/>
    </xf>
    <xf numFmtId="183" fontId="9" fillId="0" borderId="26" xfId="88" applyNumberFormat="1" applyFont="1" applyFill="1" applyBorder="1" applyAlignment="1">
      <alignment vertical="center"/>
    </xf>
    <xf numFmtId="183" fontId="9" fillId="0" borderId="23" xfId="88" applyNumberFormat="1" applyFont="1" applyFill="1" applyBorder="1" applyAlignment="1">
      <alignment vertical="center"/>
    </xf>
    <xf numFmtId="183" fontId="9" fillId="0" borderId="31" xfId="88" applyNumberFormat="1" applyFont="1" applyFill="1" applyBorder="1" applyAlignment="1">
      <alignment vertical="center"/>
    </xf>
    <xf numFmtId="183" fontId="9" fillId="0" borderId="14" xfId="88" applyNumberFormat="1" applyFont="1" applyFill="1" applyBorder="1" applyAlignment="1">
      <alignment vertical="center"/>
    </xf>
    <xf numFmtId="183" fontId="9" fillId="0" borderId="27" xfId="88" applyNumberFormat="1" applyFont="1" applyFill="1" applyBorder="1" applyAlignment="1">
      <alignment vertical="center"/>
    </xf>
    <xf numFmtId="183" fontId="9" fillId="0" borderId="46" xfId="88" applyNumberFormat="1" applyFont="1" applyFill="1" applyBorder="1" applyAlignment="1">
      <alignment vertical="center"/>
    </xf>
    <xf numFmtId="183" fontId="9" fillId="0" borderId="28" xfId="88" applyNumberFormat="1" applyFont="1" applyFill="1" applyBorder="1" applyAlignment="1">
      <alignment vertical="center"/>
    </xf>
    <xf numFmtId="183" fontId="9" fillId="0" borderId="29" xfId="88" applyNumberFormat="1" applyFont="1" applyFill="1" applyBorder="1" applyAlignment="1">
      <alignment vertical="center"/>
    </xf>
    <xf numFmtId="183" fontId="9" fillId="0" borderId="39" xfId="88" applyNumberFormat="1" applyFont="1" applyFill="1" applyBorder="1" applyAlignment="1">
      <alignment vertical="center"/>
    </xf>
    <xf numFmtId="183" fontId="9" fillId="0" borderId="0" xfId="88" applyNumberFormat="1" applyFont="1" applyBorder="1" applyAlignment="1">
      <alignment vertical="center"/>
    </xf>
    <xf numFmtId="196" fontId="19" fillId="0" borderId="29" xfId="0" applyNumberFormat="1" applyFont="1" applyFill="1" applyBorder="1" applyAlignment="1">
      <alignment horizontal="center" vertical="center"/>
    </xf>
    <xf numFmtId="196" fontId="8" fillId="37" borderId="60" xfId="0" applyNumberFormat="1" applyFont="1" applyFill="1" applyBorder="1" applyAlignment="1">
      <alignment horizontal="center" vertical="center"/>
    </xf>
    <xf numFmtId="196" fontId="8" fillId="37" borderId="25" xfId="0" applyNumberFormat="1" applyFont="1" applyFill="1" applyBorder="1" applyAlignment="1">
      <alignment horizontal="center" vertical="center"/>
    </xf>
    <xf numFmtId="196" fontId="8" fillId="37" borderId="26" xfId="0" applyNumberFormat="1" applyFont="1" applyFill="1" applyBorder="1" applyAlignment="1">
      <alignment horizontal="center" vertical="center"/>
    </xf>
    <xf numFmtId="196" fontId="8" fillId="37" borderId="13" xfId="0" applyNumberFormat="1" applyFont="1" applyFill="1" applyBorder="1" applyAlignment="1">
      <alignment horizontal="center" vertical="center"/>
    </xf>
    <xf numFmtId="196" fontId="8" fillId="37" borderId="14" xfId="0" applyNumberFormat="1" applyFont="1" applyFill="1" applyBorder="1" applyAlignment="1">
      <alignment horizontal="center" vertical="center"/>
    </xf>
    <xf numFmtId="196" fontId="8" fillId="37" borderId="28" xfId="0" applyNumberFormat="1" applyFont="1" applyFill="1" applyBorder="1" applyAlignment="1">
      <alignment horizontal="center" vertical="center"/>
    </xf>
    <xf numFmtId="196" fontId="8" fillId="37" borderId="29" xfId="0" applyNumberFormat="1" applyFont="1" applyFill="1" applyBorder="1" applyAlignment="1">
      <alignment horizontal="center" vertical="center"/>
    </xf>
    <xf numFmtId="196" fontId="8" fillId="37" borderId="19" xfId="0" applyNumberFormat="1" applyFont="1" applyFill="1" applyBorder="1" applyAlignment="1">
      <alignment horizontal="center" vertical="center"/>
    </xf>
    <xf numFmtId="196" fontId="8" fillId="37" borderId="61" xfId="0" applyNumberFormat="1" applyFont="1" applyFill="1" applyBorder="1" applyAlignment="1">
      <alignment horizontal="center" vertical="center"/>
    </xf>
    <xf numFmtId="196" fontId="19" fillId="0" borderId="53" xfId="0" applyNumberFormat="1" applyFont="1" applyFill="1" applyBorder="1" applyAlignment="1">
      <alignment horizontal="center" vertical="center"/>
    </xf>
    <xf numFmtId="196" fontId="8" fillId="0" borderId="19" xfId="0" applyNumberFormat="1" applyFont="1" applyFill="1" applyBorder="1" applyAlignment="1">
      <alignment horizontal="center" vertical="center"/>
    </xf>
    <xf numFmtId="196" fontId="8" fillId="0" borderId="13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Fill="1" applyBorder="1" applyAlignment="1">
      <alignment/>
    </xf>
    <xf numFmtId="181" fontId="9" fillId="0" borderId="0" xfId="66" applyFont="1" applyFill="1" applyBorder="1" applyAlignment="1">
      <alignment/>
      <protection/>
    </xf>
    <xf numFmtId="183" fontId="9" fillId="0" borderId="50" xfId="88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83" fontId="9" fillId="0" borderId="31" xfId="0" applyNumberFormat="1" applyFont="1" applyFill="1" applyBorder="1" applyAlignment="1">
      <alignment horizontal="center" vertical="center"/>
    </xf>
    <xf numFmtId="183" fontId="9" fillId="0" borderId="12" xfId="0" applyNumberFormat="1" applyFont="1" applyFill="1" applyBorder="1" applyAlignment="1">
      <alignment horizontal="center" vertical="center"/>
    </xf>
    <xf numFmtId="183" fontId="18" fillId="0" borderId="12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83" fontId="8" fillId="0" borderId="11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183" fontId="19" fillId="0" borderId="31" xfId="88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3" fontId="9" fillId="37" borderId="34" xfId="66" applyNumberFormat="1" applyFont="1" applyFill="1" applyBorder="1" applyAlignment="1" applyProtection="1">
      <alignment horizontal="right"/>
      <protection/>
    </xf>
    <xf numFmtId="0" fontId="0" fillId="0" borderId="40" xfId="0" applyFont="1" applyBorder="1" applyAlignment="1">
      <alignment horizontal="right"/>
    </xf>
    <xf numFmtId="0" fontId="3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44" fillId="0" borderId="10" xfId="52" applyFont="1" applyBorder="1" applyAlignment="1" applyProtection="1">
      <alignment vertical="center"/>
      <protection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183" fontId="19" fillId="0" borderId="32" xfId="88" applyNumberFormat="1" applyFont="1" applyFill="1" applyBorder="1" applyAlignment="1">
      <alignment vertical="center"/>
    </xf>
    <xf numFmtId="9" fontId="2" fillId="0" borderId="0" xfId="0" applyNumberFormat="1" applyFont="1" applyFill="1" applyAlignment="1">
      <alignment/>
    </xf>
    <xf numFmtId="185" fontId="8" fillId="0" borderId="0" xfId="65" applyNumberFormat="1" applyFont="1" applyProtection="1">
      <alignment/>
      <protection/>
    </xf>
    <xf numFmtId="171" fontId="9" fillId="0" borderId="57" xfId="88" applyFont="1" applyFill="1" applyBorder="1" applyAlignment="1">
      <alignment vertical="center"/>
    </xf>
    <xf numFmtId="171" fontId="9" fillId="0" borderId="11" xfId="88" applyFont="1" applyFill="1" applyBorder="1" applyAlignment="1">
      <alignment vertical="center"/>
    </xf>
    <xf numFmtId="171" fontId="9" fillId="0" borderId="19" xfId="88" applyFont="1" applyFill="1" applyBorder="1" applyAlignment="1">
      <alignment vertical="center"/>
    </xf>
    <xf numFmtId="171" fontId="9" fillId="0" borderId="16" xfId="88" applyFont="1" applyFill="1" applyBorder="1" applyAlignment="1">
      <alignment vertical="center"/>
    </xf>
    <xf numFmtId="171" fontId="9" fillId="0" borderId="17" xfId="88" applyFont="1" applyFill="1" applyBorder="1" applyAlignment="1">
      <alignment vertical="center"/>
    </xf>
    <xf numFmtId="171" fontId="9" fillId="0" borderId="18" xfId="88" applyFont="1" applyFill="1" applyBorder="1" applyAlignment="1">
      <alignment vertical="center"/>
    </xf>
    <xf numFmtId="171" fontId="9" fillId="0" borderId="0" xfId="88" applyNumberFormat="1" applyFont="1" applyFill="1" applyAlignment="1">
      <alignment vertical="center"/>
    </xf>
    <xf numFmtId="171" fontId="9" fillId="0" borderId="57" xfId="88" applyNumberFormat="1" applyFont="1" applyFill="1" applyBorder="1" applyAlignment="1">
      <alignment vertical="center" wrapText="1"/>
    </xf>
    <xf numFmtId="171" fontId="9" fillId="0" borderId="16" xfId="88" applyNumberFormat="1" applyFont="1" applyFill="1" applyBorder="1" applyAlignment="1">
      <alignment vertical="center"/>
    </xf>
    <xf numFmtId="171" fontId="9" fillId="0" borderId="17" xfId="88" applyNumberFormat="1" applyFont="1" applyFill="1" applyBorder="1" applyAlignment="1">
      <alignment vertical="center"/>
    </xf>
    <xf numFmtId="171" fontId="9" fillId="0" borderId="18" xfId="88" applyNumberFormat="1" applyFont="1" applyFill="1" applyBorder="1" applyAlignment="1">
      <alignment vertical="center"/>
    </xf>
    <xf numFmtId="171" fontId="9" fillId="37" borderId="12" xfId="88" applyFont="1" applyFill="1" applyBorder="1" applyAlignment="1">
      <alignment horizontal="center" vertical="center"/>
    </xf>
    <xf numFmtId="9" fontId="9" fillId="37" borderId="12" xfId="88" applyNumberFormat="1" applyFont="1" applyFill="1" applyBorder="1" applyAlignment="1">
      <alignment horizontal="center" vertical="center"/>
    </xf>
    <xf numFmtId="171" fontId="9" fillId="37" borderId="14" xfId="88" applyFont="1" applyFill="1" applyBorder="1" applyAlignment="1">
      <alignment horizontal="center" vertical="center"/>
    </xf>
    <xf numFmtId="9" fontId="9" fillId="37" borderId="19" xfId="88" applyNumberFormat="1" applyFont="1" applyFill="1" applyBorder="1" applyAlignment="1">
      <alignment horizontal="center" vertical="center"/>
    </xf>
    <xf numFmtId="9" fontId="9" fillId="37" borderId="14" xfId="88" applyNumberFormat="1" applyFont="1" applyFill="1" applyBorder="1" applyAlignment="1">
      <alignment horizontal="center" vertical="center"/>
    </xf>
    <xf numFmtId="0" fontId="6" fillId="36" borderId="0" xfId="52" applyFill="1" applyAlignment="1" applyProtection="1">
      <alignment/>
      <protection/>
    </xf>
    <xf numFmtId="3" fontId="9" fillId="0" borderId="0" xfId="0" applyNumberFormat="1" applyFont="1" applyAlignment="1">
      <alignment vertical="center"/>
    </xf>
    <xf numFmtId="0" fontId="6" fillId="0" borderId="10" xfId="52" applyBorder="1" applyAlignment="1" applyProtection="1">
      <alignment vertical="center"/>
      <protection/>
    </xf>
    <xf numFmtId="0" fontId="25" fillId="0" borderId="47" xfId="74" applyFont="1" applyFill="1" applyBorder="1">
      <alignment/>
      <protection/>
    </xf>
    <xf numFmtId="0" fontId="24" fillId="0" borderId="47" xfId="74" applyFont="1" applyFill="1" applyBorder="1" applyAlignment="1">
      <alignment vertical="center" wrapText="1"/>
      <protection/>
    </xf>
    <xf numFmtId="0" fontId="24" fillId="0" borderId="47" xfId="74" applyFont="1" applyFill="1" applyBorder="1" applyAlignment="1">
      <alignment horizontal="left" vertical="center" wrapText="1" indent="1"/>
      <protection/>
    </xf>
    <xf numFmtId="171" fontId="15" fillId="0" borderId="15" xfId="88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196" fontId="12" fillId="0" borderId="4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96" fontId="19" fillId="0" borderId="0" xfId="0" applyNumberFormat="1" applyFont="1" applyFill="1" applyBorder="1" applyAlignment="1">
      <alignment horizontal="center" vertical="center"/>
    </xf>
    <xf numFmtId="0" fontId="8" fillId="0" borderId="0" xfId="70" applyFont="1" applyFill="1" applyBorder="1" applyAlignment="1" quotePrefix="1">
      <alignment horizontal="center" vertical="center"/>
      <protection/>
    </xf>
    <xf numFmtId="196" fontId="8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8" fillId="0" borderId="0" xfId="69" applyNumberFormat="1" applyFont="1" applyFill="1" applyBorder="1" applyAlignment="1" quotePrefix="1">
      <alignment horizontal="right" vertical="center"/>
      <protection/>
    </xf>
    <xf numFmtId="0" fontId="15" fillId="0" borderId="60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61" xfId="0" applyFont="1" applyFill="1" applyBorder="1" applyAlignment="1">
      <alignment vertical="center"/>
    </xf>
    <xf numFmtId="196" fontId="9" fillId="0" borderId="49" xfId="0" applyNumberFormat="1" applyFont="1" applyFill="1" applyBorder="1" applyAlignment="1">
      <alignment horizontal="center" vertical="center"/>
    </xf>
    <xf numFmtId="0" fontId="12" fillId="0" borderId="39" xfId="74" applyFont="1" applyFill="1" applyBorder="1" applyAlignment="1">
      <alignment wrapText="1"/>
      <protection/>
    </xf>
    <xf numFmtId="209" fontId="12" fillId="0" borderId="46" xfId="0" applyNumberFormat="1" applyFont="1" applyFill="1" applyBorder="1" applyAlignment="1">
      <alignment horizontal="center" vertical="center"/>
    </xf>
    <xf numFmtId="209" fontId="12" fillId="0" borderId="29" xfId="0" applyNumberFormat="1" applyFont="1" applyFill="1" applyBorder="1" applyAlignment="1">
      <alignment horizontal="center" vertical="center"/>
    </xf>
    <xf numFmtId="209" fontId="12" fillId="0" borderId="45" xfId="0" applyNumberFormat="1" applyFont="1" applyFill="1" applyBorder="1" applyAlignment="1">
      <alignment horizontal="center" vertical="center"/>
    </xf>
    <xf numFmtId="209" fontId="12" fillId="0" borderId="25" xfId="0" applyNumberFormat="1" applyFont="1" applyFill="1" applyBorder="1" applyAlignment="1">
      <alignment horizontal="center" vertical="center"/>
    </xf>
    <xf numFmtId="209" fontId="12" fillId="0" borderId="12" xfId="0" applyNumberFormat="1" applyFont="1" applyFill="1" applyBorder="1" applyAlignment="1">
      <alignment horizontal="center" vertical="center"/>
    </xf>
    <xf numFmtId="209" fontId="12" fillId="0" borderId="13" xfId="0" applyNumberFormat="1" applyFont="1" applyFill="1" applyBorder="1" applyAlignment="1">
      <alignment horizontal="center" vertical="center"/>
    </xf>
    <xf numFmtId="209" fontId="12" fillId="0" borderId="28" xfId="0" applyNumberFormat="1" applyFont="1" applyFill="1" applyBorder="1" applyAlignment="1">
      <alignment horizontal="center" vertical="center"/>
    </xf>
    <xf numFmtId="0" fontId="12" fillId="0" borderId="23" xfId="74" applyFont="1" applyFill="1" applyBorder="1" applyAlignment="1">
      <alignment wrapText="1"/>
      <protection/>
    </xf>
    <xf numFmtId="0" fontId="12" fillId="0" borderId="11" xfId="74" applyFont="1" applyFill="1" applyBorder="1" applyAlignment="1">
      <alignment wrapText="1"/>
      <protection/>
    </xf>
    <xf numFmtId="209" fontId="12" fillId="0" borderId="26" xfId="0" applyNumberFormat="1" applyFont="1" applyFill="1" applyBorder="1" applyAlignment="1">
      <alignment horizontal="center" vertical="center"/>
    </xf>
    <xf numFmtId="209" fontId="12" fillId="0" borderId="14" xfId="0" applyNumberFormat="1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vertical="center"/>
    </xf>
    <xf numFmtId="0" fontId="9" fillId="37" borderId="11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9" fillId="0" borderId="48" xfId="70" applyFont="1" applyFill="1" applyBorder="1" applyAlignment="1" quotePrefix="1">
      <alignment horizontal="right" vertical="center"/>
      <protection/>
    </xf>
    <xf numFmtId="196" fontId="9" fillId="0" borderId="6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1" fillId="0" borderId="30" xfId="74" applyFont="1" applyFill="1" applyBorder="1" applyAlignment="1">
      <alignment vertical="center"/>
      <protection/>
    </xf>
    <xf numFmtId="0" fontId="24" fillId="0" borderId="31" xfId="74" applyFont="1" applyFill="1" applyBorder="1" applyAlignment="1">
      <alignment vertical="center"/>
      <protection/>
    </xf>
    <xf numFmtId="0" fontId="24" fillId="0" borderId="31" xfId="67" applyFont="1" applyFill="1" applyBorder="1" applyAlignment="1">
      <alignment horizontal="left" vertical="center" wrapText="1"/>
      <protection/>
    </xf>
    <xf numFmtId="0" fontId="24" fillId="0" borderId="27" xfId="74" applyFont="1" applyFill="1" applyBorder="1" applyAlignment="1">
      <alignment vertical="center"/>
      <protection/>
    </xf>
    <xf numFmtId="183" fontId="19" fillId="37" borderId="32" xfId="88" applyNumberFormat="1" applyFont="1" applyFill="1" applyBorder="1" applyAlignment="1">
      <alignment vertical="center"/>
    </xf>
    <xf numFmtId="3" fontId="8" fillId="37" borderId="33" xfId="66" applyNumberFormat="1" applyFont="1" applyFill="1" applyBorder="1" applyAlignment="1" applyProtection="1">
      <alignment horizontal="right"/>
      <protection/>
    </xf>
    <xf numFmtId="196" fontId="12" fillId="0" borderId="12" xfId="0" applyNumberFormat="1" applyFont="1" applyFill="1" applyBorder="1" applyAlignment="1">
      <alignment horizontal="center" vertical="center"/>
    </xf>
    <xf numFmtId="196" fontId="9" fillId="0" borderId="63" xfId="0" applyNumberFormat="1" applyFont="1" applyFill="1" applyBorder="1" applyAlignment="1">
      <alignment horizontal="center" vertical="center"/>
    </xf>
    <xf numFmtId="196" fontId="19" fillId="0" borderId="63" xfId="0" applyNumberFormat="1" applyFont="1" applyFill="1" applyBorder="1" applyAlignment="1">
      <alignment horizontal="center" vertical="center"/>
    </xf>
    <xf numFmtId="196" fontId="19" fillId="0" borderId="6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/>
    </xf>
    <xf numFmtId="183" fontId="12" fillId="0" borderId="42" xfId="88" applyNumberFormat="1" applyFont="1" applyBorder="1" applyAlignment="1">
      <alignment vertical="center"/>
    </xf>
    <xf numFmtId="183" fontId="12" fillId="0" borderId="24" xfId="88" applyNumberFormat="1" applyFont="1" applyBorder="1" applyAlignment="1">
      <alignment vertical="center"/>
    </xf>
    <xf numFmtId="183" fontId="8" fillId="0" borderId="24" xfId="88" applyNumberFormat="1" applyFont="1" applyBorder="1" applyAlignment="1">
      <alignment vertical="center"/>
    </xf>
    <xf numFmtId="0" fontId="8" fillId="38" borderId="0" xfId="0" applyFont="1" applyFill="1" applyAlignment="1">
      <alignment horizontal="center" vertical="center" wrapText="1"/>
    </xf>
    <xf numFmtId="183" fontId="12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7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18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" fontId="16" fillId="0" borderId="65" xfId="0" applyNumberFormat="1" applyFont="1" applyFill="1" applyBorder="1" applyAlignment="1">
      <alignment horizontal="center" vertical="center" wrapText="1"/>
    </xf>
    <xf numFmtId="209" fontId="12" fillId="0" borderId="66" xfId="0" applyNumberFormat="1" applyFont="1" applyFill="1" applyBorder="1" applyAlignment="1">
      <alignment horizontal="center" vertical="center"/>
    </xf>
    <xf numFmtId="182" fontId="12" fillId="0" borderId="66" xfId="0" applyNumberFormat="1" applyFont="1" applyFill="1" applyBorder="1" applyAlignment="1">
      <alignment horizontal="center" vertical="center"/>
    </xf>
    <xf numFmtId="183" fontId="17" fillId="0" borderId="25" xfId="0" applyNumberFormat="1" applyFont="1" applyFill="1" applyBorder="1" applyAlignment="1">
      <alignment vertical="center"/>
    </xf>
    <xf numFmtId="196" fontId="8" fillId="0" borderId="21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0" fontId="6" fillId="0" borderId="10" xfId="52" applyBorder="1" applyAlignment="1" applyProtection="1">
      <alignment/>
      <protection/>
    </xf>
    <xf numFmtId="196" fontId="8" fillId="37" borderId="22" xfId="0" applyNumberFormat="1" applyFont="1" applyFill="1" applyBorder="1" applyAlignment="1">
      <alignment horizontal="center" vertical="center"/>
    </xf>
    <xf numFmtId="196" fontId="8" fillId="37" borderId="20" xfId="0" applyNumberFormat="1" applyFont="1" applyFill="1" applyBorder="1" applyAlignment="1">
      <alignment horizontal="center" vertical="center"/>
    </xf>
    <xf numFmtId="196" fontId="8" fillId="37" borderId="21" xfId="0" applyNumberFormat="1" applyFont="1" applyFill="1" applyBorder="1" applyAlignment="1">
      <alignment horizontal="center" vertical="center"/>
    </xf>
    <xf numFmtId="196" fontId="8" fillId="0" borderId="22" xfId="0" applyNumberFormat="1" applyFont="1" applyFill="1" applyBorder="1" applyAlignment="1">
      <alignment horizontal="center" vertical="center"/>
    </xf>
    <xf numFmtId="196" fontId="8" fillId="0" borderId="20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37" borderId="48" xfId="70" applyFont="1" applyFill="1" applyBorder="1" applyAlignment="1" quotePrefix="1">
      <alignment horizontal="center" vertical="center"/>
      <protection/>
    </xf>
    <xf numFmtId="196" fontId="8" fillId="0" borderId="12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left" vertical="center"/>
    </xf>
    <xf numFmtId="196" fontId="9" fillId="37" borderId="31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right" vertical="center"/>
    </xf>
    <xf numFmtId="0" fontId="8" fillId="37" borderId="62" xfId="70" applyFont="1" applyFill="1" applyBorder="1" applyAlignment="1" quotePrefix="1">
      <alignment horizontal="center" vertical="center"/>
      <protection/>
    </xf>
    <xf numFmtId="0" fontId="9" fillId="0" borderId="32" xfId="0" applyFont="1" applyBorder="1" applyAlignment="1">
      <alignment horizontal="right" vertical="center" wrapText="1"/>
    </xf>
    <xf numFmtId="196" fontId="8" fillId="0" borderId="62" xfId="0" applyNumberFormat="1" applyFont="1" applyBorder="1" applyAlignment="1">
      <alignment horizontal="left" vertical="center" wrapText="1"/>
    </xf>
    <xf numFmtId="0" fontId="46" fillId="0" borderId="0" xfId="52" applyFont="1" applyAlignment="1" applyProtection="1">
      <alignment vertical="center"/>
      <protection/>
    </xf>
    <xf numFmtId="0" fontId="8" fillId="39" borderId="0" xfId="0" applyFont="1" applyFill="1" applyAlignment="1">
      <alignment vertical="center" wrapText="1"/>
    </xf>
    <xf numFmtId="0" fontId="46" fillId="0" borderId="0" xfId="52" applyFont="1" applyAlignment="1" applyProtection="1">
      <alignment horizontal="center" vertical="center"/>
      <protection/>
    </xf>
    <xf numFmtId="0" fontId="9" fillId="39" borderId="0" xfId="0" applyFont="1" applyFill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8" fillId="40" borderId="31" xfId="0" applyFont="1" applyFill="1" applyBorder="1" applyAlignment="1">
      <alignment horizontal="center" vertical="center" wrapText="1"/>
    </xf>
    <xf numFmtId="193" fontId="9" fillId="40" borderId="31" xfId="0" applyNumberFormat="1" applyFont="1" applyFill="1" applyBorder="1" applyAlignment="1" applyProtection="1">
      <alignment vertical="center" wrapText="1"/>
      <protection locked="0"/>
    </xf>
    <xf numFmtId="9" fontId="9" fillId="40" borderId="31" xfId="80" applyFont="1" applyFill="1" applyBorder="1" applyAlignment="1" applyProtection="1">
      <alignment vertical="center" wrapText="1"/>
      <protection locked="0"/>
    </xf>
    <xf numFmtId="0" fontId="9" fillId="0" borderId="23" xfId="0" applyFont="1" applyBorder="1" applyAlignment="1">
      <alignment vertical="center" wrapText="1"/>
    </xf>
    <xf numFmtId="0" fontId="18" fillId="40" borderId="30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vertical="center" wrapText="1"/>
    </xf>
    <xf numFmtId="0" fontId="18" fillId="40" borderId="27" xfId="0" applyFont="1" applyFill="1" applyBorder="1" applyAlignment="1">
      <alignment horizontal="center" vertical="center" wrapText="1"/>
    </xf>
    <xf numFmtId="183" fontId="9" fillId="0" borderId="23" xfId="85" applyNumberFormat="1" applyFont="1" applyBorder="1" applyAlignment="1">
      <alignment vertical="center" wrapText="1"/>
    </xf>
    <xf numFmtId="183" fontId="9" fillId="0" borderId="25" xfId="85" applyNumberFormat="1" applyFont="1" applyBorder="1" applyAlignment="1">
      <alignment vertical="center"/>
    </xf>
    <xf numFmtId="183" fontId="9" fillId="0" borderId="26" xfId="85" applyNumberFormat="1" applyFont="1" applyBorder="1" applyAlignment="1">
      <alignment vertical="center"/>
    </xf>
    <xf numFmtId="183" fontId="9" fillId="0" borderId="30" xfId="85" applyNumberFormat="1" applyFont="1" applyBorder="1" applyAlignment="1">
      <alignment vertical="center"/>
    </xf>
    <xf numFmtId="183" fontId="9" fillId="0" borderId="11" xfId="85" applyNumberFormat="1" applyFont="1" applyBorder="1" applyAlignment="1">
      <alignment vertical="center"/>
    </xf>
    <xf numFmtId="183" fontId="9" fillId="0" borderId="13" xfId="85" applyNumberFormat="1" applyFont="1" applyBorder="1" applyAlignment="1">
      <alignment vertical="center"/>
    </xf>
    <xf numFmtId="183" fontId="9" fillId="0" borderId="14" xfId="85" applyNumberFormat="1" applyFont="1" applyBorder="1" applyAlignment="1">
      <alignment vertical="center"/>
    </xf>
    <xf numFmtId="183" fontId="9" fillId="0" borderId="31" xfId="85" applyNumberFormat="1" applyFont="1" applyBorder="1" applyAlignment="1">
      <alignment vertical="center"/>
    </xf>
    <xf numFmtId="183" fontId="9" fillId="0" borderId="39" xfId="85" applyNumberFormat="1" applyFont="1" applyBorder="1" applyAlignment="1">
      <alignment vertical="center"/>
    </xf>
    <xf numFmtId="183" fontId="9" fillId="0" borderId="28" xfId="85" applyNumberFormat="1" applyFont="1" applyBorder="1" applyAlignment="1">
      <alignment vertical="center"/>
    </xf>
    <xf numFmtId="183" fontId="9" fillId="0" borderId="29" xfId="85" applyNumberFormat="1" applyFont="1" applyBorder="1" applyAlignment="1">
      <alignment vertical="center"/>
    </xf>
    <xf numFmtId="183" fontId="9" fillId="0" borderId="27" xfId="85" applyNumberFormat="1" applyFont="1" applyBorder="1" applyAlignment="1">
      <alignment vertical="center"/>
    </xf>
    <xf numFmtId="9" fontId="9" fillId="0" borderId="55" xfId="0" applyNumberFormat="1" applyFont="1" applyBorder="1" applyAlignment="1">
      <alignment vertical="center"/>
    </xf>
    <xf numFmtId="9" fontId="9" fillId="0" borderId="67" xfId="0" applyNumberFormat="1" applyFont="1" applyBorder="1" applyAlignment="1">
      <alignment vertical="center"/>
    </xf>
    <xf numFmtId="183" fontId="9" fillId="0" borderId="0" xfId="85" applyNumberFormat="1" applyFont="1" applyAlignment="1">
      <alignment vertical="center"/>
    </xf>
    <xf numFmtId="183" fontId="9" fillId="0" borderId="23" xfId="85" applyNumberFormat="1" applyFont="1" applyBorder="1" applyAlignment="1">
      <alignment vertical="center"/>
    </xf>
    <xf numFmtId="0" fontId="18" fillId="0" borderId="10" xfId="0" applyFont="1" applyBorder="1" applyAlignment="1">
      <alignment horizontal="left" vertical="center" indent="1"/>
    </xf>
    <xf numFmtId="183" fontId="18" fillId="0" borderId="11" xfId="85" applyNumberFormat="1" applyFont="1" applyBorder="1" applyAlignment="1">
      <alignment vertical="center"/>
    </xf>
    <xf numFmtId="183" fontId="18" fillId="0" borderId="13" xfId="85" applyNumberFormat="1" applyFont="1" applyBorder="1" applyAlignment="1">
      <alignment vertical="center"/>
    </xf>
    <xf numFmtId="183" fontId="18" fillId="0" borderId="14" xfId="85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183" fontId="9" fillId="0" borderId="45" xfId="85" applyNumberFormat="1" applyFont="1" applyBorder="1" applyAlignment="1">
      <alignment vertical="center"/>
    </xf>
    <xf numFmtId="183" fontId="9" fillId="0" borderId="12" xfId="85" applyNumberFormat="1" applyFont="1" applyBorder="1" applyAlignment="1">
      <alignment vertical="center"/>
    </xf>
    <xf numFmtId="183" fontId="9" fillId="0" borderId="46" xfId="85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83" fontId="9" fillId="0" borderId="0" xfId="85" applyNumberFormat="1" applyFont="1" applyBorder="1" applyAlignment="1">
      <alignment vertical="center"/>
    </xf>
    <xf numFmtId="0" fontId="47" fillId="0" borderId="10" xfId="52" applyFont="1" applyBorder="1" applyAlignment="1" applyProtection="1">
      <alignment/>
      <protection/>
    </xf>
    <xf numFmtId="0" fontId="30" fillId="0" borderId="10" xfId="0" applyFont="1" applyFill="1" applyBorder="1" applyAlignment="1">
      <alignment vertical="center" wrapText="1"/>
    </xf>
    <xf numFmtId="196" fontId="8" fillId="0" borderId="30" xfId="0" applyNumberFormat="1" applyFont="1" applyBorder="1" applyAlignment="1">
      <alignment horizontal="left" vertical="center"/>
    </xf>
    <xf numFmtId="0" fontId="9" fillId="0" borderId="47" xfId="70" applyFont="1" applyFill="1" applyBorder="1" applyAlignment="1" quotePrefix="1">
      <alignment horizontal="right" vertical="center"/>
      <protection/>
    </xf>
    <xf numFmtId="196" fontId="9" fillId="0" borderId="13" xfId="0" applyNumberFormat="1" applyFont="1" applyFill="1" applyBorder="1" applyAlignment="1">
      <alignment horizontal="center" vertical="center"/>
    </xf>
    <xf numFmtId="196" fontId="9" fillId="0" borderId="14" xfId="0" applyNumberFormat="1" applyFont="1" applyFill="1" applyBorder="1" applyAlignment="1">
      <alignment horizontal="center" vertical="center"/>
    </xf>
    <xf numFmtId="9" fontId="9" fillId="37" borderId="12" xfId="80" applyFont="1" applyFill="1" applyBorder="1" applyAlignment="1">
      <alignment horizontal="center" vertical="center"/>
    </xf>
    <xf numFmtId="196" fontId="9" fillId="0" borderId="19" xfId="0" applyNumberFormat="1" applyFont="1" applyFill="1" applyBorder="1" applyAlignment="1">
      <alignment horizontal="center" vertical="center"/>
    </xf>
    <xf numFmtId="196" fontId="9" fillId="0" borderId="31" xfId="0" applyNumberFormat="1" applyFont="1" applyFill="1" applyBorder="1" applyAlignment="1">
      <alignment horizontal="center" vertical="center"/>
    </xf>
    <xf numFmtId="0" fontId="37" fillId="0" borderId="0" xfId="70" applyFont="1" applyFill="1" applyAlignment="1" quotePrefix="1">
      <alignment horizontal="center" vertical="center"/>
      <protection/>
    </xf>
    <xf numFmtId="0" fontId="25" fillId="0" borderId="47" xfId="74" applyFont="1" applyFill="1" applyBorder="1" applyAlignment="1">
      <alignment vertical="center" wrapText="1"/>
      <protection/>
    </xf>
    <xf numFmtId="0" fontId="24" fillId="0" borderId="55" xfId="74" applyFont="1" applyBorder="1" applyAlignment="1">
      <alignment vertical="center"/>
      <protection/>
    </xf>
    <xf numFmtId="0" fontId="24" fillId="0" borderId="55" xfId="74" applyFont="1" applyFill="1" applyBorder="1" applyAlignment="1">
      <alignment vertical="center" wrapText="1"/>
      <protection/>
    </xf>
    <xf numFmtId="196" fontId="9" fillId="0" borderId="31" xfId="0" applyNumberFormat="1" applyFont="1" applyBorder="1" applyAlignment="1">
      <alignment horizontal="center" vertical="center" wrapText="1"/>
    </xf>
    <xf numFmtId="0" fontId="9" fillId="37" borderId="62" xfId="70" applyFont="1" applyFill="1" applyBorder="1" applyAlignment="1" quotePrefix="1">
      <alignment horizontal="center" vertical="center"/>
      <protection/>
    </xf>
    <xf numFmtId="196" fontId="9" fillId="0" borderId="62" xfId="0" applyNumberFormat="1" applyFont="1" applyBorder="1" applyAlignment="1">
      <alignment horizontal="left" vertical="center"/>
    </xf>
    <xf numFmtId="196" fontId="19" fillId="0" borderId="12" xfId="0" applyNumberFormat="1" applyFont="1" applyFill="1" applyBorder="1" applyAlignment="1">
      <alignment horizontal="center" vertical="center"/>
    </xf>
    <xf numFmtId="196" fontId="19" fillId="0" borderId="31" xfId="0" applyNumberFormat="1" applyFont="1" applyFill="1" applyBorder="1" applyAlignment="1">
      <alignment horizontal="center" vertical="center"/>
    </xf>
    <xf numFmtId="196" fontId="9" fillId="37" borderId="12" xfId="0" applyNumberFormat="1" applyFont="1" applyFill="1" applyBorder="1" applyAlignment="1">
      <alignment horizontal="center" vertical="center"/>
    </xf>
    <xf numFmtId="196" fontId="19" fillId="0" borderId="24" xfId="0" applyNumberFormat="1" applyFont="1" applyFill="1" applyBorder="1" applyAlignment="1">
      <alignment horizontal="center" vertical="center"/>
    </xf>
    <xf numFmtId="0" fontId="12" fillId="0" borderId="31" xfId="74" applyFont="1" applyFill="1" applyBorder="1" applyAlignment="1">
      <alignment wrapText="1"/>
      <protection/>
    </xf>
    <xf numFmtId="9" fontId="12" fillId="0" borderId="12" xfId="80" applyFont="1" applyFill="1" applyBorder="1" applyAlignment="1">
      <alignment horizontal="center" vertical="center"/>
    </xf>
    <xf numFmtId="0" fontId="9" fillId="0" borderId="48" xfId="0" applyFont="1" applyBorder="1" applyAlignment="1">
      <alignment horizontal="right" vertical="center"/>
    </xf>
    <xf numFmtId="196" fontId="9" fillId="0" borderId="62" xfId="0" applyNumberFormat="1" applyFont="1" applyBorder="1" applyAlignment="1">
      <alignment horizontal="left" vertical="center" wrapText="1"/>
    </xf>
    <xf numFmtId="0" fontId="37" fillId="0" borderId="0" xfId="70" applyFont="1" applyFill="1" applyAlignment="1" quotePrefix="1">
      <alignment horizontal="center"/>
      <protection/>
    </xf>
    <xf numFmtId="0" fontId="24" fillId="0" borderId="0" xfId="74" applyFont="1" applyBorder="1" applyAlignment="1">
      <alignment vertical="center"/>
      <protection/>
    </xf>
    <xf numFmtId="49" fontId="8" fillId="0" borderId="23" xfId="69" applyNumberFormat="1" applyFont="1" applyFill="1" applyBorder="1" applyAlignment="1" quotePrefix="1">
      <alignment horizontal="center" vertical="center"/>
      <protection/>
    </xf>
    <xf numFmtId="0" fontId="8" fillId="0" borderId="11" xfId="70" applyFont="1" applyFill="1" applyBorder="1" applyAlignment="1" quotePrefix="1">
      <alignment horizontal="center" vertical="center"/>
      <protection/>
    </xf>
    <xf numFmtId="0" fontId="12" fillId="0" borderId="11" xfId="70" applyFont="1" applyFill="1" applyBorder="1" applyAlignment="1" quotePrefix="1">
      <alignment horizontal="center" vertical="center"/>
      <protection/>
    </xf>
    <xf numFmtId="0" fontId="8" fillId="0" borderId="48" xfId="0" applyFont="1" applyBorder="1" applyAlignment="1">
      <alignment horizontal="center" vertical="center"/>
    </xf>
    <xf numFmtId="0" fontId="9" fillId="37" borderId="11" xfId="0" applyFont="1" applyFill="1" applyBorder="1" applyAlignment="1" quotePrefix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8" fillId="0" borderId="11" xfId="69" applyNumberFormat="1" applyFont="1" applyFill="1" applyBorder="1" applyAlignment="1" quotePrefix="1">
      <alignment horizontal="center" vertical="center"/>
      <protection/>
    </xf>
    <xf numFmtId="0" fontId="9" fillId="0" borderId="52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9" fillId="37" borderId="48" xfId="70" applyFont="1" applyFill="1" applyBorder="1" applyAlignment="1" quotePrefix="1">
      <alignment horizontal="center" vertical="center"/>
      <protection/>
    </xf>
    <xf numFmtId="9" fontId="9" fillId="37" borderId="13" xfId="88" applyNumberFormat="1" applyFont="1" applyFill="1" applyBorder="1" applyAlignment="1">
      <alignment horizontal="center" vertical="center"/>
    </xf>
    <xf numFmtId="171" fontId="9" fillId="37" borderId="13" xfId="88" applyFont="1" applyFill="1" applyBorder="1" applyAlignment="1">
      <alignment horizontal="center" vertical="center"/>
    </xf>
    <xf numFmtId="183" fontId="9" fillId="37" borderId="27" xfId="88" applyNumberFormat="1" applyFont="1" applyFill="1" applyBorder="1" applyAlignment="1">
      <alignment vertical="center"/>
    </xf>
    <xf numFmtId="2" fontId="9" fillId="0" borderId="0" xfId="88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/>
    </xf>
    <xf numFmtId="183" fontId="11" fillId="0" borderId="30" xfId="88" applyNumberFormat="1" applyFont="1" applyFill="1" applyBorder="1" applyAlignment="1">
      <alignment vertical="center"/>
    </xf>
    <xf numFmtId="183" fontId="11" fillId="0" borderId="31" xfId="88" applyNumberFormat="1" applyFont="1" applyFill="1" applyBorder="1" applyAlignment="1">
      <alignment vertical="center"/>
    </xf>
    <xf numFmtId="183" fontId="11" fillId="37" borderId="27" xfId="88" applyNumberFormat="1" applyFont="1" applyFill="1" applyBorder="1" applyAlignment="1">
      <alignment vertical="center"/>
    </xf>
    <xf numFmtId="0" fontId="16" fillId="38" borderId="55" xfId="0" applyFont="1" applyFill="1" applyBorder="1" applyAlignment="1">
      <alignment horizontal="center" vertical="center" wrapText="1"/>
    </xf>
    <xf numFmtId="1" fontId="16" fillId="38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183" fontId="9" fillId="0" borderId="53" xfId="87" applyNumberFormat="1" applyFont="1" applyFill="1" applyBorder="1" applyAlignment="1">
      <alignment vertical="center"/>
    </xf>
    <xf numFmtId="183" fontId="9" fillId="0" borderId="43" xfId="87" applyNumberFormat="1" applyFont="1" applyFill="1" applyBorder="1" applyAlignment="1">
      <alignment vertical="center"/>
    </xf>
    <xf numFmtId="183" fontId="9" fillId="0" borderId="44" xfId="87" applyNumberFormat="1" applyFont="1" applyFill="1" applyBorder="1" applyAlignment="1">
      <alignment vertical="center"/>
    </xf>
    <xf numFmtId="171" fontId="8" fillId="0" borderId="26" xfId="87" applyFont="1" applyBorder="1" applyAlignment="1">
      <alignment vertical="center"/>
    </xf>
    <xf numFmtId="183" fontId="8" fillId="0" borderId="26" xfId="87" applyNumberFormat="1" applyFont="1" applyBorder="1" applyAlignment="1">
      <alignment vertical="center"/>
    </xf>
    <xf numFmtId="171" fontId="11" fillId="0" borderId="68" xfId="88" applyFont="1" applyBorder="1" applyAlignment="1">
      <alignment vertical="center"/>
    </xf>
    <xf numFmtId="183" fontId="18" fillId="0" borderId="12" xfId="88" applyNumberFormat="1" applyFont="1" applyBorder="1" applyAlignment="1">
      <alignment vertical="center"/>
    </xf>
    <xf numFmtId="183" fontId="18" fillId="0" borderId="13" xfId="88" applyNumberFormat="1" applyFont="1" applyBorder="1" applyAlignment="1">
      <alignment vertical="center"/>
    </xf>
    <xf numFmtId="183" fontId="18" fillId="0" borderId="46" xfId="88" applyNumberFormat="1" applyFont="1" applyBorder="1" applyAlignment="1">
      <alignment vertical="center"/>
    </xf>
    <xf numFmtId="183" fontId="18" fillId="0" borderId="28" xfId="88" applyNumberFormat="1" applyFont="1" applyBorder="1" applyAlignment="1">
      <alignment vertical="center"/>
    </xf>
    <xf numFmtId="183" fontId="18" fillId="0" borderId="45" xfId="88" applyNumberFormat="1" applyFont="1" applyBorder="1" applyAlignment="1">
      <alignment vertical="center"/>
    </xf>
    <xf numFmtId="183" fontId="18" fillId="0" borderId="25" xfId="88" applyNumberFormat="1" applyFont="1" applyBorder="1" applyAlignment="1">
      <alignment vertical="center"/>
    </xf>
    <xf numFmtId="183" fontId="18" fillId="0" borderId="19" xfId="88" applyNumberFormat="1" applyFont="1" applyBorder="1" applyAlignment="1">
      <alignment vertical="center"/>
    </xf>
    <xf numFmtId="183" fontId="18" fillId="37" borderId="12" xfId="88" applyNumberFormat="1" applyFont="1" applyFill="1" applyBorder="1" applyAlignment="1">
      <alignment vertical="center"/>
    </xf>
    <xf numFmtId="183" fontId="18" fillId="37" borderId="19" xfId="88" applyNumberFormat="1" applyFont="1" applyFill="1" applyBorder="1" applyAlignment="1">
      <alignment vertical="center"/>
    </xf>
    <xf numFmtId="183" fontId="18" fillId="37" borderId="13" xfId="88" applyNumberFormat="1" applyFont="1" applyFill="1" applyBorder="1" applyAlignment="1">
      <alignment vertical="center"/>
    </xf>
    <xf numFmtId="183" fontId="18" fillId="0" borderId="14" xfId="88" applyNumberFormat="1" applyFont="1" applyBorder="1" applyAlignment="1">
      <alignment vertical="center"/>
    </xf>
    <xf numFmtId="183" fontId="18" fillId="0" borderId="29" xfId="88" applyNumberFormat="1" applyFont="1" applyBorder="1" applyAlignment="1">
      <alignment vertical="center"/>
    </xf>
    <xf numFmtId="0" fontId="9" fillId="0" borderId="28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25" xfId="0" applyFont="1" applyBorder="1" applyAlignment="1">
      <alignment/>
    </xf>
    <xf numFmtId="0" fontId="31" fillId="0" borderId="0" xfId="73" applyFont="1" applyFill="1" applyBorder="1" applyAlignment="1">
      <alignment vertical="center"/>
      <protection/>
    </xf>
    <xf numFmtId="0" fontId="30" fillId="0" borderId="0" xfId="73" applyFont="1" applyFill="1" applyBorder="1" applyAlignment="1">
      <alignment horizontal="center" vertical="center"/>
      <protection/>
    </xf>
    <xf numFmtId="194" fontId="27" fillId="0" borderId="0" xfId="68" applyNumberFormat="1" applyFont="1" applyAlignment="1" applyProtection="1">
      <alignment horizontal="right" vertical="center"/>
      <protection/>
    </xf>
    <xf numFmtId="3" fontId="27" fillId="0" borderId="0" xfId="68" applyNumberFormat="1" applyFont="1" applyFill="1" applyBorder="1" applyAlignment="1">
      <alignment horizontal="center" vertical="center"/>
      <protection/>
    </xf>
    <xf numFmtId="37" fontId="27" fillId="0" borderId="0" xfId="68" applyNumberFormat="1" applyFont="1" applyFill="1" applyBorder="1" applyAlignment="1" quotePrefix="1">
      <alignment horizontal="center" vertical="center"/>
      <protection/>
    </xf>
    <xf numFmtId="3" fontId="8" fillId="0" borderId="0" xfId="68" applyNumberFormat="1" applyFont="1" applyFill="1" applyBorder="1" applyAlignment="1">
      <alignment vertical="center"/>
      <protection/>
    </xf>
    <xf numFmtId="3" fontId="8" fillId="0" borderId="0" xfId="68" applyNumberFormat="1" applyFont="1" applyFill="1" applyAlignment="1">
      <alignment vertical="center"/>
      <protection/>
    </xf>
    <xf numFmtId="3" fontId="8" fillId="0" borderId="0" xfId="68" applyNumberFormat="1" applyFont="1" applyFill="1" applyAlignment="1">
      <alignment horizontal="right" vertical="center"/>
      <protection/>
    </xf>
    <xf numFmtId="0" fontId="32" fillId="0" borderId="0" xfId="73" applyFont="1" applyFill="1" applyBorder="1" applyAlignment="1">
      <alignment horizontal="center" vertical="center"/>
      <protection/>
    </xf>
    <xf numFmtId="0" fontId="32" fillId="0" borderId="0" xfId="73" applyFont="1" applyFill="1" applyBorder="1" applyAlignment="1">
      <alignment horizontal="left" vertical="center"/>
      <protection/>
    </xf>
    <xf numFmtId="3" fontId="32" fillId="37" borderId="0" xfId="68" applyNumberFormat="1" applyFont="1" applyFill="1" applyBorder="1" applyAlignment="1" applyProtection="1">
      <alignment horizontal="right" vertical="center"/>
      <protection/>
    </xf>
    <xf numFmtId="3" fontId="32" fillId="0" borderId="0" xfId="68" applyNumberFormat="1" applyFont="1" applyFill="1" applyBorder="1" applyAlignment="1" applyProtection="1">
      <alignment horizontal="right" vertical="center"/>
      <protection/>
    </xf>
    <xf numFmtId="0" fontId="32" fillId="0" borderId="0" xfId="73" applyFont="1" applyFill="1" applyBorder="1" applyAlignment="1">
      <alignment vertical="center"/>
      <protection/>
    </xf>
    <xf numFmtId="181" fontId="9" fillId="0" borderId="0" xfId="68" applyFont="1" applyFill="1" applyAlignment="1">
      <alignment vertical="center"/>
      <protection/>
    </xf>
    <xf numFmtId="0" fontId="48" fillId="0" borderId="0" xfId="68" applyNumberFormat="1" applyFont="1" applyFill="1" applyBorder="1" applyAlignment="1" quotePrefix="1">
      <alignment horizontal="center" vertical="center"/>
      <protection/>
    </xf>
    <xf numFmtId="3" fontId="9" fillId="0" borderId="0" xfId="65" applyNumberFormat="1" applyFont="1" applyFill="1" applyBorder="1" applyAlignment="1" applyProtection="1">
      <alignment vertical="center"/>
      <protection/>
    </xf>
    <xf numFmtId="181" fontId="8" fillId="0" borderId="0" xfId="68" applyFont="1" applyFill="1" applyAlignment="1">
      <alignment vertical="center"/>
      <protection/>
    </xf>
    <xf numFmtId="181" fontId="8" fillId="0" borderId="0" xfId="68" applyFont="1" applyFill="1" applyBorder="1" applyAlignment="1">
      <alignment horizontal="left" vertical="center"/>
      <protection/>
    </xf>
    <xf numFmtId="182" fontId="8" fillId="0" borderId="0" xfId="68" applyNumberFormat="1" applyFont="1" applyFill="1" applyBorder="1" applyAlignment="1" applyProtection="1">
      <alignment horizontal="center" vertical="center"/>
      <protection/>
    </xf>
    <xf numFmtId="3" fontId="8" fillId="0" borderId="0" xfId="68" applyNumberFormat="1" applyFont="1" applyFill="1" applyBorder="1" applyAlignment="1">
      <alignment horizontal="right" vertical="center"/>
      <protection/>
    </xf>
    <xf numFmtId="37" fontId="20" fillId="0" borderId="0" xfId="68" applyNumberFormat="1" applyFont="1" applyFill="1" applyAlignment="1" quotePrefix="1">
      <alignment horizontal="right" vertical="center"/>
      <protection/>
    </xf>
    <xf numFmtId="182" fontId="8" fillId="0" borderId="0" xfId="68" applyNumberFormat="1" applyFont="1" applyFill="1" applyBorder="1" applyAlignment="1" applyProtection="1">
      <alignment horizontal="center" vertical="center"/>
      <protection/>
    </xf>
    <xf numFmtId="3" fontId="9" fillId="0" borderId="0" xfId="68" applyNumberFormat="1" applyFont="1" applyFill="1" applyBorder="1" applyAlignment="1">
      <alignment horizontal="right" vertical="center"/>
      <protection/>
    </xf>
    <xf numFmtId="181" fontId="9" fillId="0" borderId="0" xfId="68" applyFont="1" applyFill="1" applyBorder="1" applyAlignment="1">
      <alignment horizontal="left" vertical="center"/>
      <protection/>
    </xf>
    <xf numFmtId="37" fontId="20" fillId="0" borderId="0" xfId="68" applyNumberFormat="1" applyFont="1" applyFill="1" applyAlignment="1" quotePrefix="1">
      <alignment horizontal="right" vertical="center"/>
      <protection/>
    </xf>
    <xf numFmtId="181" fontId="9" fillId="0" borderId="32" xfId="68" applyFont="1" applyFill="1" applyBorder="1" applyAlignment="1">
      <alignment vertical="center"/>
      <protection/>
    </xf>
    <xf numFmtId="195" fontId="9" fillId="0" borderId="32" xfId="68" applyNumberFormat="1" applyFont="1" applyFill="1" applyBorder="1" applyAlignment="1">
      <alignment vertical="center"/>
      <protection/>
    </xf>
    <xf numFmtId="3" fontId="9" fillId="0" borderId="32" xfId="68" applyNumberFormat="1" applyFont="1" applyFill="1" applyBorder="1" applyAlignment="1">
      <alignment vertical="center"/>
      <protection/>
    </xf>
    <xf numFmtId="3" fontId="8" fillId="0" borderId="32" xfId="65" applyNumberFormat="1" applyFont="1" applyFill="1" applyBorder="1" applyAlignment="1" applyProtection="1">
      <alignment horizontal="right" vertical="center"/>
      <protection/>
    </xf>
    <xf numFmtId="181" fontId="9" fillId="0" borderId="0" xfId="68" applyFont="1" applyFill="1" applyBorder="1" applyAlignment="1">
      <alignment vertical="center"/>
      <protection/>
    </xf>
    <xf numFmtId="195" fontId="9" fillId="0" borderId="0" xfId="68" applyNumberFormat="1" applyFont="1" applyFill="1" applyBorder="1" applyAlignment="1">
      <alignment vertical="center"/>
      <protection/>
    </xf>
    <xf numFmtId="3" fontId="9" fillId="0" borderId="0" xfId="68" applyNumberFormat="1" applyFont="1" applyFill="1" applyBorder="1" applyAlignment="1">
      <alignment vertical="center"/>
      <protection/>
    </xf>
    <xf numFmtId="3" fontId="8" fillId="0" borderId="0" xfId="65" applyNumberFormat="1" applyFont="1" applyFill="1" applyBorder="1" applyAlignment="1" applyProtection="1">
      <alignment horizontal="right" vertical="center"/>
      <protection/>
    </xf>
    <xf numFmtId="181" fontId="15" fillId="0" borderId="0" xfId="68" applyFont="1" applyFill="1" applyBorder="1" applyAlignment="1">
      <alignment vertical="center"/>
      <protection/>
    </xf>
    <xf numFmtId="3" fontId="8" fillId="0" borderId="0" xfId="68" applyNumberFormat="1" applyFont="1" applyFill="1" applyBorder="1" applyAlignment="1">
      <alignment horizontal="right" vertical="center"/>
      <protection/>
    </xf>
    <xf numFmtId="181" fontId="9" fillId="0" borderId="0" xfId="68" applyFont="1" applyFill="1" applyAlignment="1">
      <alignment horizontal="left" vertical="center"/>
      <protection/>
    </xf>
    <xf numFmtId="195" fontId="9" fillId="37" borderId="32" xfId="68" applyNumberFormat="1" applyFont="1" applyFill="1" applyBorder="1" applyAlignment="1">
      <alignment vertical="center"/>
      <protection/>
    </xf>
    <xf numFmtId="3" fontId="8" fillId="0" borderId="0" xfId="68" applyNumberFormat="1" applyFont="1" applyFill="1" applyBorder="1" applyAlignment="1">
      <alignment vertical="center"/>
      <protection/>
    </xf>
    <xf numFmtId="181" fontId="9" fillId="0" borderId="0" xfId="68" applyFont="1" applyFill="1" applyBorder="1" applyAlignment="1">
      <alignment horizontal="right" vertical="center"/>
      <protection/>
    </xf>
    <xf numFmtId="181" fontId="8" fillId="0" borderId="0" xfId="68" applyFont="1" applyFill="1" applyBorder="1" applyAlignment="1">
      <alignment vertical="center"/>
      <protection/>
    </xf>
    <xf numFmtId="37" fontId="49" fillId="0" borderId="0" xfId="68" applyNumberFormat="1" applyFont="1" applyFill="1" applyBorder="1" applyAlignment="1" quotePrefix="1">
      <alignment horizontal="center" vertical="center"/>
      <protection/>
    </xf>
    <xf numFmtId="3" fontId="49" fillId="0" borderId="0" xfId="68" applyNumberFormat="1" applyFont="1" applyFill="1" applyBorder="1" applyAlignment="1">
      <alignment vertical="center"/>
      <protection/>
    </xf>
    <xf numFmtId="3" fontId="9" fillId="0" borderId="0" xfId="68" applyNumberFormat="1" applyFont="1" applyFill="1" applyAlignment="1">
      <alignment vertical="center"/>
      <protection/>
    </xf>
    <xf numFmtId="3" fontId="9" fillId="0" borderId="0" xfId="65" applyNumberFormat="1" applyFont="1" applyFill="1" applyBorder="1" applyAlignment="1" applyProtection="1">
      <alignment vertical="center"/>
      <protection/>
    </xf>
    <xf numFmtId="182" fontId="8" fillId="0" borderId="0" xfId="68" applyNumberFormat="1" applyFont="1" applyFill="1" applyAlignment="1" applyProtection="1">
      <alignment horizontal="right" vertical="center"/>
      <protection/>
    </xf>
    <xf numFmtId="181" fontId="8" fillId="0" borderId="0" xfId="68" applyFont="1" applyFill="1" applyAlignment="1">
      <alignment horizontal="left" vertical="center"/>
      <protection/>
    </xf>
    <xf numFmtId="3" fontId="8" fillId="0" borderId="0" xfId="65" applyNumberFormat="1" applyFont="1" applyFill="1" applyBorder="1" applyAlignment="1" applyProtection="1">
      <alignment vertical="center"/>
      <protection/>
    </xf>
    <xf numFmtId="3" fontId="8" fillId="0" borderId="0" xfId="65" applyNumberFormat="1" applyFont="1" applyFill="1" applyBorder="1" applyAlignment="1" applyProtection="1">
      <alignment vertical="center"/>
      <protection/>
    </xf>
    <xf numFmtId="181" fontId="8" fillId="0" borderId="0" xfId="68" applyFont="1" applyFill="1" applyBorder="1" applyAlignment="1">
      <alignment horizontal="left" vertical="center"/>
      <protection/>
    </xf>
    <xf numFmtId="0" fontId="9" fillId="0" borderId="0" xfId="73" applyFont="1" applyFill="1" applyBorder="1" applyAlignment="1">
      <alignment vertical="center"/>
      <protection/>
    </xf>
    <xf numFmtId="0" fontId="9" fillId="0" borderId="0" xfId="73" applyFont="1" applyFill="1" applyBorder="1" applyAlignment="1">
      <alignment horizontal="left" vertical="center" indent="1"/>
      <protection/>
    </xf>
    <xf numFmtId="0" fontId="9" fillId="0" borderId="0" xfId="73" applyFont="1" applyFill="1" applyBorder="1" applyAlignment="1">
      <alignment horizontal="center" vertical="center"/>
      <protection/>
    </xf>
    <xf numFmtId="0" fontId="8" fillId="0" borderId="0" xfId="73" applyFont="1" applyFill="1" applyBorder="1" applyAlignment="1">
      <alignment vertical="center"/>
      <protection/>
    </xf>
    <xf numFmtId="0" fontId="48" fillId="0" borderId="0" xfId="68" applyNumberFormat="1" applyFont="1" applyFill="1" applyBorder="1" applyAlignment="1">
      <alignment horizontal="center" vertical="center"/>
      <protection/>
    </xf>
    <xf numFmtId="3" fontId="50" fillId="0" borderId="0" xfId="68" applyNumberFormat="1" applyFont="1" applyFill="1" applyBorder="1" applyAlignment="1" applyProtection="1">
      <alignment horizontal="right" vertical="center"/>
      <protection/>
    </xf>
    <xf numFmtId="3" fontId="50" fillId="0" borderId="0" xfId="65" applyNumberFormat="1" applyFont="1" applyFill="1" applyBorder="1" applyAlignment="1" applyProtection="1">
      <alignment horizontal="right" vertical="center"/>
      <protection/>
    </xf>
    <xf numFmtId="3" fontId="8" fillId="0" borderId="0" xfId="75" applyNumberFormat="1" applyFont="1" applyFill="1" applyBorder="1" applyAlignment="1">
      <alignment vertical="center"/>
      <protection/>
    </xf>
    <xf numFmtId="3" fontId="9" fillId="37" borderId="0" xfId="75" applyNumberFormat="1" applyFont="1" applyFill="1" applyBorder="1" applyAlignment="1">
      <alignment vertical="center"/>
      <protection/>
    </xf>
    <xf numFmtId="181" fontId="8" fillId="0" borderId="0" xfId="68" applyFont="1" applyFill="1" applyBorder="1" applyAlignment="1">
      <alignment vertical="center"/>
      <protection/>
    </xf>
    <xf numFmtId="9" fontId="9" fillId="0" borderId="0" xfId="68" applyNumberFormat="1" applyFont="1" applyFill="1" applyBorder="1" applyAlignment="1" applyProtection="1">
      <alignment horizontal="right" vertical="center"/>
      <protection/>
    </xf>
    <xf numFmtId="181" fontId="8" fillId="0" borderId="0" xfId="68" applyFont="1" applyFill="1" applyBorder="1" applyAlignment="1">
      <alignment horizontal="right" vertical="center"/>
      <protection/>
    </xf>
    <xf numFmtId="49" fontId="9" fillId="0" borderId="0" xfId="69" applyNumberFormat="1" applyFont="1" applyFill="1" applyBorder="1" applyAlignment="1">
      <alignment horizontal="left" vertical="center"/>
      <protection/>
    </xf>
    <xf numFmtId="37" fontId="9" fillId="0" borderId="0" xfId="65" applyFont="1" applyFill="1" applyBorder="1" applyAlignment="1">
      <alignment vertical="center"/>
      <protection/>
    </xf>
    <xf numFmtId="3" fontId="50" fillId="37" borderId="0" xfId="68" applyNumberFormat="1" applyFont="1" applyFill="1" applyBorder="1" applyAlignment="1" applyProtection="1">
      <alignment horizontal="right" vertical="center"/>
      <protection/>
    </xf>
    <xf numFmtId="9" fontId="8" fillId="0" borderId="0" xfId="68" applyNumberFormat="1" applyFont="1" applyFill="1" applyBorder="1" applyAlignment="1" applyProtection="1">
      <alignment horizontal="right" vertical="center"/>
      <protection/>
    </xf>
    <xf numFmtId="181" fontId="8" fillId="0" borderId="0" xfId="68" applyFont="1" applyFill="1" applyBorder="1" applyAlignment="1">
      <alignment horizontal="center" vertical="center"/>
      <protection/>
    </xf>
    <xf numFmtId="184" fontId="8" fillId="0" borderId="0" xfId="68" applyNumberFormat="1" applyFont="1" applyFill="1" applyBorder="1" applyAlignment="1" applyProtection="1">
      <alignment horizontal="center" vertical="center"/>
      <protection/>
    </xf>
    <xf numFmtId="3" fontId="8" fillId="0" borderId="0" xfId="73" applyNumberFormat="1" applyFont="1" applyFill="1" applyBorder="1" applyAlignment="1">
      <alignment vertical="center"/>
      <protection/>
    </xf>
    <xf numFmtId="0" fontId="30" fillId="0" borderId="0" xfId="73" applyFont="1" applyFill="1" applyBorder="1" applyAlignment="1">
      <alignment horizontal="center" vertical="center"/>
      <protection/>
    </xf>
    <xf numFmtId="194" fontId="8" fillId="0" borderId="0" xfId="68" applyNumberFormat="1" applyFont="1" applyBorder="1" applyAlignment="1" applyProtection="1">
      <alignment horizontal="right" vertical="center"/>
      <protection/>
    </xf>
    <xf numFmtId="3" fontId="8" fillId="0" borderId="0" xfId="68" applyNumberFormat="1" applyFont="1" applyFill="1" applyBorder="1" applyAlignment="1">
      <alignment horizontal="center" vertical="center"/>
      <protection/>
    </xf>
    <xf numFmtId="0" fontId="31" fillId="0" borderId="0" xfId="73" applyFont="1" applyFill="1" applyBorder="1" applyAlignment="1">
      <alignment vertical="center"/>
      <protection/>
    </xf>
    <xf numFmtId="181" fontId="18" fillId="0" borderId="0" xfId="68" applyFont="1" applyFill="1" applyBorder="1" applyAlignment="1">
      <alignment vertical="center"/>
      <protection/>
    </xf>
    <xf numFmtId="3" fontId="9" fillId="37" borderId="0" xfId="68" applyNumberFormat="1" applyFont="1" applyFill="1" applyBorder="1" applyAlignment="1">
      <alignment vertical="center"/>
      <protection/>
    </xf>
    <xf numFmtId="49" fontId="49" fillId="0" borderId="0" xfId="69" applyNumberFormat="1" applyFont="1" applyFill="1" applyBorder="1" applyAlignment="1">
      <alignment horizontal="left" vertical="center"/>
      <protection/>
    </xf>
    <xf numFmtId="3" fontId="49" fillId="0" borderId="0" xfId="68" applyNumberFormat="1" applyFont="1" applyFill="1" applyBorder="1" applyAlignment="1">
      <alignment vertical="center"/>
      <protection/>
    </xf>
    <xf numFmtId="3" fontId="27" fillId="0" borderId="0" xfId="68" applyNumberFormat="1" applyFont="1" applyFill="1" applyBorder="1" applyAlignment="1">
      <alignment horizontal="right" vertical="center"/>
      <protection/>
    </xf>
    <xf numFmtId="181" fontId="8" fillId="0" borderId="32" xfId="68" applyFont="1" applyFill="1" applyBorder="1" applyAlignment="1">
      <alignment vertical="center"/>
      <protection/>
    </xf>
    <xf numFmtId="49" fontId="8" fillId="0" borderId="32" xfId="69" applyNumberFormat="1" applyFont="1" applyFill="1" applyBorder="1" applyAlignment="1">
      <alignment horizontal="left" vertical="center"/>
      <protection/>
    </xf>
    <xf numFmtId="3" fontId="8" fillId="0" borderId="32" xfId="68" applyNumberFormat="1" applyFont="1" applyFill="1" applyBorder="1" applyAlignment="1">
      <alignment vertical="center"/>
      <protection/>
    </xf>
    <xf numFmtId="3" fontId="8" fillId="37" borderId="0" xfId="68" applyNumberFormat="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8" fillId="0" borderId="0" xfId="73" applyFont="1" applyFill="1" applyAlignment="1">
      <alignment vertical="center"/>
      <protection/>
    </xf>
    <xf numFmtId="0" fontId="9" fillId="0" borderId="0" xfId="73" applyFont="1" applyFill="1" applyAlignment="1">
      <alignment vertical="center"/>
      <protection/>
    </xf>
    <xf numFmtId="0" fontId="8" fillId="0" borderId="0" xfId="73" applyFont="1" applyFill="1" applyAlignment="1">
      <alignment horizontal="center" vertical="center"/>
      <protection/>
    </xf>
    <xf numFmtId="3" fontId="8" fillId="0" borderId="0" xfId="73" applyNumberFormat="1" applyFont="1" applyFill="1" applyAlignment="1">
      <alignment horizontal="right" vertical="center"/>
      <protection/>
    </xf>
    <xf numFmtId="196" fontId="12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96" fontId="8" fillId="0" borderId="23" xfId="0" applyNumberFormat="1" applyFont="1" applyFill="1" applyBorder="1" applyAlignment="1">
      <alignment horizontal="center" vertical="center"/>
    </xf>
    <xf numFmtId="196" fontId="8" fillId="0" borderId="11" xfId="0" applyNumberFormat="1" applyFont="1" applyFill="1" applyBorder="1" applyAlignment="1">
      <alignment horizontal="center" vertical="center"/>
    </xf>
    <xf numFmtId="9" fontId="12" fillId="0" borderId="11" xfId="80" applyFont="1" applyFill="1" applyBorder="1" applyAlignment="1">
      <alignment horizontal="center" vertical="center"/>
    </xf>
    <xf numFmtId="196" fontId="19" fillId="0" borderId="47" xfId="0" applyNumberFormat="1" applyFont="1" applyFill="1" applyBorder="1" applyAlignment="1">
      <alignment horizontal="center" vertical="center"/>
    </xf>
    <xf numFmtId="196" fontId="9" fillId="0" borderId="41" xfId="0" applyNumberFormat="1" applyFont="1" applyFill="1" applyBorder="1" applyAlignment="1">
      <alignment horizontal="center" vertical="center"/>
    </xf>
    <xf numFmtId="196" fontId="19" fillId="0" borderId="4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96" fontId="12" fillId="0" borderId="3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9" fillId="0" borderId="11" xfId="74" applyFont="1" applyBorder="1" applyAlignment="1">
      <alignment wrapText="1"/>
      <protection/>
    </xf>
    <xf numFmtId="0" fontId="12" fillId="0" borderId="11" xfId="0" applyFont="1" applyBorder="1" applyAlignment="1">
      <alignment horizontal="center" vertical="center"/>
    </xf>
    <xf numFmtId="183" fontId="9" fillId="37" borderId="29" xfId="88" applyNumberFormat="1" applyFont="1" applyFill="1" applyBorder="1" applyAlignment="1">
      <alignment vertical="center"/>
    </xf>
    <xf numFmtId="183" fontId="8" fillId="0" borderId="14" xfId="88" applyNumberFormat="1" applyFont="1" applyBorder="1" applyAlignment="1">
      <alignment vertical="center"/>
    </xf>
    <xf numFmtId="183" fontId="12" fillId="0" borderId="44" xfId="88" applyNumberFormat="1" applyFont="1" applyBorder="1" applyAlignment="1">
      <alignment vertical="center"/>
    </xf>
    <xf numFmtId="183" fontId="18" fillId="0" borderId="26" xfId="88" applyNumberFormat="1" applyFont="1" applyBorder="1" applyAlignment="1">
      <alignment vertical="center"/>
    </xf>
    <xf numFmtId="183" fontId="18" fillId="37" borderId="14" xfId="88" applyNumberFormat="1" applyFont="1" applyFill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3" fontId="27" fillId="0" borderId="0" xfId="68" applyNumberFormat="1" applyFont="1" applyFill="1" applyBorder="1" applyAlignment="1">
      <alignment horizontal="center" vertical="center"/>
      <protection/>
    </xf>
    <xf numFmtId="181" fontId="31" fillId="0" borderId="0" xfId="68" applyFont="1" applyAlignment="1">
      <alignment vertical="center"/>
      <protection/>
    </xf>
    <xf numFmtId="184" fontId="23" fillId="0" borderId="0" xfId="68" applyNumberFormat="1" applyFont="1" applyFill="1" applyBorder="1" applyAlignment="1" applyProtection="1">
      <alignment horizontal="center" vertical="center"/>
      <protection/>
    </xf>
    <xf numFmtId="0" fontId="8" fillId="0" borderId="0" xfId="73" applyFont="1" applyFill="1" applyBorder="1" applyAlignment="1">
      <alignment vertical="center"/>
      <protection/>
    </xf>
    <xf numFmtId="3" fontId="27" fillId="0" borderId="0" xfId="68" applyNumberFormat="1" applyFont="1" applyFill="1" applyBorder="1" applyAlignment="1">
      <alignment vertical="center"/>
      <protection/>
    </xf>
    <xf numFmtId="3" fontId="27" fillId="0" borderId="0" xfId="68" applyNumberFormat="1" applyFont="1" applyFill="1" applyBorder="1" applyAlignment="1">
      <alignment vertical="center"/>
      <protection/>
    </xf>
    <xf numFmtId="0" fontId="9" fillId="37" borderId="0" xfId="72" applyFont="1" applyFill="1" applyBorder="1" applyAlignment="1" quotePrefix="1">
      <alignment horizontal="right"/>
      <protection/>
    </xf>
    <xf numFmtId="0" fontId="9" fillId="0" borderId="0" xfId="72" applyFont="1" applyFill="1" applyBorder="1">
      <alignment/>
      <protection/>
    </xf>
    <xf numFmtId="0" fontId="8" fillId="0" borderId="0" xfId="72" applyFont="1" applyBorder="1" applyAlignment="1" quotePrefix="1">
      <alignment horizontal="right"/>
      <protection/>
    </xf>
    <xf numFmtId="0" fontId="8" fillId="0" borderId="0" xfId="72" applyFont="1" applyFill="1" applyBorder="1">
      <alignment/>
      <protection/>
    </xf>
    <xf numFmtId="0" fontId="8" fillId="0" borderId="0" xfId="73" applyFont="1" applyFill="1" applyBorder="1" applyAlignment="1">
      <alignment horizontal="center" vertical="center"/>
      <protection/>
    </xf>
    <xf numFmtId="0" fontId="9" fillId="0" borderId="32" xfId="72" applyFont="1" applyFill="1" applyBorder="1">
      <alignment/>
      <protection/>
    </xf>
    <xf numFmtId="0" fontId="9" fillId="0" borderId="32" xfId="73" applyFont="1" applyFill="1" applyBorder="1" applyAlignment="1">
      <alignment horizontal="center" vertical="center"/>
      <protection/>
    </xf>
    <xf numFmtId="3" fontId="8" fillId="0" borderId="32" xfId="68" applyNumberFormat="1" applyFont="1" applyFill="1" applyBorder="1" applyAlignment="1">
      <alignment vertical="center"/>
      <protection/>
    </xf>
    <xf numFmtId="0" fontId="9" fillId="0" borderId="0" xfId="72" applyFont="1" applyBorder="1" applyAlignment="1" quotePrefix="1">
      <alignment horizontal="right"/>
      <protection/>
    </xf>
    <xf numFmtId="49" fontId="8" fillId="0" borderId="0" xfId="69" applyNumberFormat="1" applyFont="1" applyFill="1" applyBorder="1" applyAlignment="1">
      <alignment horizontal="left" vertical="center"/>
      <protection/>
    </xf>
    <xf numFmtId="0" fontId="9" fillId="0" borderId="0" xfId="68" applyNumberFormat="1" applyFont="1" applyFill="1" applyBorder="1" applyAlignment="1" applyProtection="1">
      <alignment horizontal="right" vertical="center"/>
      <protection/>
    </xf>
    <xf numFmtId="0" fontId="8" fillId="0" borderId="0" xfId="68" applyNumberFormat="1" applyFont="1" applyFill="1" applyBorder="1" applyAlignment="1" applyProtection="1">
      <alignment horizontal="right" vertical="center"/>
      <protection/>
    </xf>
    <xf numFmtId="0" fontId="9" fillId="0" borderId="0" xfId="73" applyFont="1" applyFill="1" applyBorder="1" applyAlignment="1">
      <alignment horizontal="left" vertical="center"/>
      <protection/>
    </xf>
    <xf numFmtId="182" fontId="9" fillId="0" borderId="0" xfId="68" applyNumberFormat="1" applyFont="1" applyFill="1" applyBorder="1" applyAlignment="1" applyProtection="1">
      <alignment horizontal="center" vertical="center"/>
      <protection/>
    </xf>
    <xf numFmtId="49" fontId="9" fillId="0" borderId="33" xfId="69" applyNumberFormat="1" applyFont="1" applyFill="1" applyBorder="1" applyAlignment="1">
      <alignment horizontal="left" vertical="center"/>
      <protection/>
    </xf>
    <xf numFmtId="181" fontId="9" fillId="0" borderId="33" xfId="68" applyFont="1" applyFill="1" applyBorder="1" applyAlignment="1">
      <alignment vertical="center"/>
      <protection/>
    </xf>
    <xf numFmtId="3" fontId="9" fillId="37" borderId="33" xfId="68" applyNumberFormat="1" applyFont="1" applyFill="1" applyBorder="1" applyAlignment="1">
      <alignment vertical="center"/>
      <protection/>
    </xf>
    <xf numFmtId="3" fontId="9" fillId="0" borderId="33" xfId="68" applyNumberFormat="1" applyFont="1" applyFill="1" applyBorder="1" applyAlignment="1">
      <alignment vertical="center"/>
      <protection/>
    </xf>
    <xf numFmtId="3" fontId="8" fillId="0" borderId="33" xfId="68" applyNumberFormat="1" applyFont="1" applyFill="1" applyBorder="1" applyAlignment="1">
      <alignment vertical="center"/>
      <protection/>
    </xf>
    <xf numFmtId="2" fontId="8" fillId="0" borderId="0" xfId="68" applyNumberFormat="1" applyFont="1" applyFill="1" applyBorder="1" applyAlignment="1" applyProtection="1">
      <alignment horizontal="center" vertical="center"/>
      <protection/>
    </xf>
    <xf numFmtId="3" fontId="8" fillId="0" borderId="33" xfId="68" applyNumberFormat="1" applyFont="1" applyFill="1" applyBorder="1" applyAlignment="1">
      <alignment horizontal="right" vertical="center"/>
      <protection/>
    </xf>
    <xf numFmtId="181" fontId="9" fillId="0" borderId="34" xfId="68" applyFont="1" applyFill="1" applyBorder="1" applyAlignment="1">
      <alignment vertical="center"/>
      <protection/>
    </xf>
    <xf numFmtId="3" fontId="15" fillId="0" borderId="34" xfId="68" applyNumberFormat="1" applyFont="1" applyFill="1" applyBorder="1" applyAlignment="1">
      <alignment vertical="center"/>
      <protection/>
    </xf>
    <xf numFmtId="181" fontId="8" fillId="0" borderId="34" xfId="68" applyFont="1" applyFill="1" applyBorder="1" applyAlignment="1">
      <alignment vertical="center"/>
      <protection/>
    </xf>
    <xf numFmtId="0" fontId="18" fillId="0" borderId="0" xfId="73" applyFont="1" applyFill="1" applyBorder="1" applyAlignment="1">
      <alignment horizontal="left" vertical="center"/>
      <protection/>
    </xf>
    <xf numFmtId="185" fontId="24" fillId="0" borderId="33" xfId="70" applyNumberFormat="1" applyFont="1" applyBorder="1" applyProtection="1">
      <alignment/>
      <protection/>
    </xf>
    <xf numFmtId="0" fontId="24" fillId="0" borderId="0" xfId="0" applyFont="1" applyBorder="1" applyAlignment="1">
      <alignment/>
    </xf>
    <xf numFmtId="0" fontId="8" fillId="0" borderId="0" xfId="73" applyFont="1" applyFill="1" applyBorder="1" applyAlignment="1">
      <alignment horizontal="right" vertical="center"/>
      <protection/>
    </xf>
    <xf numFmtId="0" fontId="8" fillId="0" borderId="0" xfId="73" applyFont="1" applyFill="1" applyAlignment="1">
      <alignment horizontal="right" vertical="center"/>
      <protection/>
    </xf>
    <xf numFmtId="0" fontId="19" fillId="0" borderId="30" xfId="0" applyFont="1" applyBorder="1" applyAlignment="1">
      <alignment vertical="center"/>
    </xf>
    <xf numFmtId="0" fontId="8" fillId="0" borderId="31" xfId="74" applyFont="1" applyFill="1" applyBorder="1" applyAlignment="1">
      <alignment wrapText="1"/>
      <protection/>
    </xf>
    <xf numFmtId="0" fontId="12" fillId="0" borderId="24" xfId="0" applyFont="1" applyBorder="1" applyAlignment="1">
      <alignment vertical="center" wrapText="1"/>
    </xf>
    <xf numFmtId="0" fontId="9" fillId="0" borderId="31" xfId="74" applyFont="1" applyFill="1" applyBorder="1" applyAlignment="1">
      <alignment wrapText="1"/>
      <protection/>
    </xf>
    <xf numFmtId="0" fontId="8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0" fontId="19" fillId="0" borderId="10" xfId="0" applyFont="1" applyBorder="1" applyAlignment="1">
      <alignment vertical="center"/>
    </xf>
    <xf numFmtId="9" fontId="9" fillId="0" borderId="13" xfId="88" applyNumberFormat="1" applyFont="1" applyFill="1" applyBorder="1" applyAlignment="1">
      <alignment horizontal="center" vertical="center"/>
    </xf>
    <xf numFmtId="9" fontId="9" fillId="0" borderId="14" xfId="88" applyNumberFormat="1" applyFont="1" applyFill="1" applyBorder="1" applyAlignment="1">
      <alignment horizontal="center" vertical="center"/>
    </xf>
    <xf numFmtId="9" fontId="9" fillId="37" borderId="45" xfId="88" applyNumberFormat="1" applyFont="1" applyFill="1" applyBorder="1" applyAlignment="1">
      <alignment horizontal="center" vertical="center"/>
    </xf>
    <xf numFmtId="9" fontId="9" fillId="37" borderId="25" xfId="88" applyNumberFormat="1" applyFont="1" applyFill="1" applyBorder="1" applyAlignment="1">
      <alignment horizontal="center" vertical="center"/>
    </xf>
    <xf numFmtId="9" fontId="9" fillId="37" borderId="26" xfId="88" applyNumberFormat="1" applyFont="1" applyFill="1" applyBorder="1" applyAlignment="1">
      <alignment horizontal="center" vertical="center"/>
    </xf>
    <xf numFmtId="171" fontId="9" fillId="0" borderId="12" xfId="88" applyFont="1" applyBorder="1" applyAlignment="1">
      <alignment horizontal="center" vertical="center"/>
    </xf>
    <xf numFmtId="171" fontId="9" fillId="0" borderId="13" xfId="88" applyFont="1" applyBorder="1" applyAlignment="1">
      <alignment horizontal="center" vertical="center"/>
    </xf>
    <xf numFmtId="171" fontId="9" fillId="0" borderId="14" xfId="88" applyFont="1" applyBorder="1" applyAlignment="1">
      <alignment horizontal="center" vertical="center"/>
    </xf>
    <xf numFmtId="171" fontId="13" fillId="0" borderId="12" xfId="88" applyFont="1" applyBorder="1" applyAlignment="1">
      <alignment horizontal="center" vertical="center"/>
    </xf>
    <xf numFmtId="171" fontId="13" fillId="0" borderId="13" xfId="88" applyFont="1" applyBorder="1" applyAlignment="1">
      <alignment horizontal="center" vertical="center"/>
    </xf>
    <xf numFmtId="171" fontId="13" fillId="0" borderId="14" xfId="88" applyFont="1" applyBorder="1" applyAlignment="1">
      <alignment horizontal="center" vertical="center"/>
    </xf>
    <xf numFmtId="9" fontId="9" fillId="37" borderId="13" xfId="80" applyFont="1" applyFill="1" applyBorder="1" applyAlignment="1">
      <alignment horizontal="center" vertical="center"/>
    </xf>
    <xf numFmtId="9" fontId="9" fillId="37" borderId="14" xfId="80" applyFont="1" applyFill="1" applyBorder="1" applyAlignment="1">
      <alignment horizontal="center" vertical="center"/>
    </xf>
    <xf numFmtId="171" fontId="13" fillId="0" borderId="12" xfId="88" applyFont="1" applyBorder="1" applyAlignment="1">
      <alignment vertical="center"/>
    </xf>
    <xf numFmtId="171" fontId="13" fillId="0" borderId="13" xfId="88" applyFont="1" applyBorder="1" applyAlignment="1">
      <alignment vertical="center"/>
    </xf>
    <xf numFmtId="171" fontId="13" fillId="0" borderId="14" xfId="88" applyFont="1" applyBorder="1" applyAlignment="1">
      <alignment vertical="center"/>
    </xf>
    <xf numFmtId="1" fontId="8" fillId="0" borderId="0" xfId="68" applyNumberFormat="1" applyFont="1" applyFill="1" applyBorder="1" applyAlignment="1" applyProtection="1">
      <alignment horizontal="center" vertical="center"/>
      <protection/>
    </xf>
    <xf numFmtId="196" fontId="18" fillId="0" borderId="12" xfId="0" applyNumberFormat="1" applyFont="1" applyFill="1" applyBorder="1" applyAlignment="1">
      <alignment horizontal="center" vertical="center"/>
    </xf>
    <xf numFmtId="196" fontId="18" fillId="0" borderId="11" xfId="0" applyNumberFormat="1" applyFont="1" applyFill="1" applyBorder="1" applyAlignment="1">
      <alignment horizontal="center" vertical="center"/>
    </xf>
    <xf numFmtId="196" fontId="18" fillId="37" borderId="12" xfId="0" applyNumberFormat="1" applyFont="1" applyFill="1" applyBorder="1" applyAlignment="1">
      <alignment horizontal="center" vertical="center"/>
    </xf>
    <xf numFmtId="196" fontId="18" fillId="37" borderId="11" xfId="0" applyNumberFormat="1" applyFont="1" applyFill="1" applyBorder="1" applyAlignment="1">
      <alignment horizontal="center" vertical="center"/>
    </xf>
    <xf numFmtId="213" fontId="9" fillId="40" borderId="31" xfId="0" applyNumberFormat="1" applyFont="1" applyFill="1" applyBorder="1" applyAlignment="1" applyProtection="1">
      <alignment vertical="center" wrapText="1"/>
      <protection locked="0"/>
    </xf>
    <xf numFmtId="183" fontId="18" fillId="0" borderId="12" xfId="85" applyNumberFormat="1" applyFont="1" applyBorder="1" applyAlignment="1">
      <alignment vertical="center"/>
    </xf>
    <xf numFmtId="183" fontId="9" fillId="0" borderId="69" xfId="85" applyNumberFormat="1" applyFont="1" applyBorder="1" applyAlignment="1">
      <alignment vertical="center"/>
    </xf>
    <xf numFmtId="183" fontId="9" fillId="0" borderId="70" xfId="85" applyNumberFormat="1" applyFont="1" applyBorder="1" applyAlignment="1">
      <alignment vertical="center"/>
    </xf>
    <xf numFmtId="183" fontId="9" fillId="0" borderId="71" xfId="85" applyNumberFormat="1" applyFont="1" applyBorder="1" applyAlignment="1">
      <alignment vertical="center"/>
    </xf>
    <xf numFmtId="183" fontId="9" fillId="0" borderId="72" xfId="85" applyNumberFormat="1" applyFont="1" applyBorder="1" applyAlignment="1">
      <alignment vertical="center"/>
    </xf>
    <xf numFmtId="183" fontId="9" fillId="0" borderId="51" xfId="85" applyNumberFormat="1" applyFont="1" applyBorder="1" applyAlignment="1">
      <alignment vertical="center"/>
    </xf>
    <xf numFmtId="183" fontId="9" fillId="0" borderId="73" xfId="85" applyNumberFormat="1" applyFont="1" applyBorder="1" applyAlignment="1">
      <alignment vertical="center"/>
    </xf>
    <xf numFmtId="183" fontId="9" fillId="42" borderId="12" xfId="85" applyNumberFormat="1" applyFont="1" applyFill="1" applyBorder="1" applyAlignment="1">
      <alignment vertical="center"/>
    </xf>
    <xf numFmtId="9" fontId="9" fillId="0" borderId="11" xfId="88" applyNumberFormat="1" applyFont="1" applyFill="1" applyBorder="1" applyAlignment="1">
      <alignment horizontal="center" vertical="center"/>
    </xf>
    <xf numFmtId="182" fontId="9" fillId="37" borderId="12" xfId="88" applyNumberFormat="1" applyFont="1" applyFill="1" applyBorder="1" applyAlignment="1">
      <alignment horizontal="center" vertical="center"/>
    </xf>
    <xf numFmtId="9" fontId="9" fillId="37" borderId="11" xfId="88" applyNumberFormat="1" applyFont="1" applyFill="1" applyBorder="1" applyAlignment="1">
      <alignment horizontal="center" vertical="center"/>
    </xf>
    <xf numFmtId="171" fontId="9" fillId="37" borderId="11" xfId="88" applyFont="1" applyFill="1" applyBorder="1" applyAlignment="1">
      <alignment vertical="center"/>
    </xf>
    <xf numFmtId="171" fontId="12" fillId="0" borderId="11" xfId="88" applyFont="1" applyBorder="1" applyAlignment="1">
      <alignment vertical="center"/>
    </xf>
    <xf numFmtId="171" fontId="9" fillId="37" borderId="11" xfId="88" applyFont="1" applyFill="1" applyBorder="1" applyAlignment="1">
      <alignment horizontal="center" vertical="center"/>
    </xf>
    <xf numFmtId="171" fontId="9" fillId="0" borderId="48" xfId="88" applyFont="1" applyFill="1" applyBorder="1" applyAlignment="1">
      <alignment vertical="center"/>
    </xf>
    <xf numFmtId="171" fontId="8" fillId="0" borderId="10" xfId="88" applyFont="1" applyBorder="1" applyAlignment="1">
      <alignment vertical="center"/>
    </xf>
    <xf numFmtId="0" fontId="6" fillId="0" borderId="10" xfId="52" applyFill="1" applyBorder="1" applyAlignment="1" applyProtection="1">
      <alignment/>
      <protection/>
    </xf>
    <xf numFmtId="0" fontId="9" fillId="0" borderId="59" xfId="0" applyFont="1" applyFill="1" applyBorder="1" applyAlignment="1">
      <alignment horizontal="center" vertical="center"/>
    </xf>
    <xf numFmtId="171" fontId="11" fillId="0" borderId="74" xfId="88" applyFont="1" applyBorder="1" applyAlignment="1">
      <alignment vertical="center"/>
    </xf>
    <xf numFmtId="196" fontId="52" fillId="0" borderId="12" xfId="0" applyNumberFormat="1" applyFont="1" applyFill="1" applyBorder="1" applyAlignment="1">
      <alignment horizontal="center" vertical="center"/>
    </xf>
    <xf numFmtId="196" fontId="52" fillId="0" borderId="19" xfId="0" applyNumberFormat="1" applyFont="1" applyFill="1" applyBorder="1" applyAlignment="1">
      <alignment horizontal="center" vertical="center"/>
    </xf>
    <xf numFmtId="196" fontId="52" fillId="0" borderId="31" xfId="0" applyNumberFormat="1" applyFont="1" applyFill="1" applyBorder="1" applyAlignment="1">
      <alignment horizontal="center" vertical="center"/>
    </xf>
    <xf numFmtId="182" fontId="9" fillId="37" borderId="11" xfId="80" applyNumberFormat="1" applyFont="1" applyFill="1" applyBorder="1" applyAlignment="1">
      <alignment horizontal="center" vertical="center"/>
    </xf>
    <xf numFmtId="171" fontId="8" fillId="0" borderId="11" xfId="88" applyFont="1" applyBorder="1" applyAlignment="1">
      <alignment horizontal="center" vertical="center"/>
    </xf>
    <xf numFmtId="9" fontId="9" fillId="37" borderId="39" xfId="80" applyFont="1" applyFill="1" applyBorder="1" applyAlignment="1">
      <alignment horizontal="center" vertical="center"/>
    </xf>
    <xf numFmtId="171" fontId="20" fillId="0" borderId="0" xfId="0" applyNumberFormat="1" applyFont="1" applyBorder="1" applyAlignment="1">
      <alignment horizontal="left" vertical="center"/>
    </xf>
    <xf numFmtId="3" fontId="8" fillId="37" borderId="0" xfId="68" applyNumberFormat="1" applyFont="1" applyFill="1" applyBorder="1" applyAlignment="1">
      <alignment horizontal="right" vertical="center"/>
      <protection/>
    </xf>
    <xf numFmtId="3" fontId="32" fillId="0" borderId="75" xfId="68" applyNumberFormat="1" applyFont="1" applyFill="1" applyBorder="1" applyAlignment="1" applyProtection="1">
      <alignment horizontal="right" vertical="center"/>
      <protection/>
    </xf>
    <xf numFmtId="3" fontId="32" fillId="0" borderId="76" xfId="68" applyNumberFormat="1" applyFont="1" applyFill="1" applyBorder="1" applyAlignment="1" applyProtection="1">
      <alignment horizontal="right" vertical="center"/>
      <protection/>
    </xf>
    <xf numFmtId="3" fontId="32" fillId="0" borderId="77" xfId="68" applyNumberFormat="1" applyFont="1" applyFill="1" applyBorder="1" applyAlignment="1" applyProtection="1">
      <alignment horizontal="right" vertical="center"/>
      <protection/>
    </xf>
    <xf numFmtId="3" fontId="32" fillId="0" borderId="78" xfId="68" applyNumberFormat="1" applyFont="1" applyFill="1" applyBorder="1" applyAlignment="1" applyProtection="1">
      <alignment horizontal="right" vertical="center"/>
      <protection/>
    </xf>
    <xf numFmtId="3" fontId="32" fillId="0" borderId="79" xfId="68" applyNumberFormat="1" applyFont="1" applyFill="1" applyBorder="1" applyAlignment="1" applyProtection="1">
      <alignment horizontal="right" vertical="center"/>
      <protection/>
    </xf>
    <xf numFmtId="3" fontId="32" fillId="0" borderId="80" xfId="68" applyNumberFormat="1" applyFont="1" applyFill="1" applyBorder="1" applyAlignment="1" applyProtection="1">
      <alignment horizontal="right" vertical="center"/>
      <protection/>
    </xf>
    <xf numFmtId="0" fontId="53" fillId="0" borderId="0" xfId="0" applyFont="1" applyFill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3" fillId="0" borderId="0" xfId="0" applyFont="1" applyAlignment="1">
      <alignment vertical="center" wrapText="1"/>
    </xf>
    <xf numFmtId="9" fontId="55" fillId="0" borderId="0" xfId="80" applyFont="1" applyAlignment="1">
      <alignment/>
    </xf>
    <xf numFmtId="9" fontId="54" fillId="0" borderId="0" xfId="80" applyFont="1" applyAlignment="1">
      <alignment/>
    </xf>
    <xf numFmtId="183" fontId="9" fillId="0" borderId="63" xfId="85" applyNumberFormat="1" applyFont="1" applyBorder="1" applyAlignment="1">
      <alignment vertical="center"/>
    </xf>
    <xf numFmtId="183" fontId="9" fillId="0" borderId="20" xfId="85" applyNumberFormat="1" applyFont="1" applyBorder="1" applyAlignment="1">
      <alignment vertical="center"/>
    </xf>
    <xf numFmtId="183" fontId="9" fillId="0" borderId="21" xfId="85" applyNumberFormat="1" applyFont="1" applyBorder="1" applyAlignment="1">
      <alignment vertical="center"/>
    </xf>
    <xf numFmtId="0" fontId="56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206" fontId="34" fillId="0" borderId="10" xfId="0" applyNumberFormat="1" applyFont="1" applyBorder="1" applyAlignment="1">
      <alignment horizontal="center"/>
    </xf>
    <xf numFmtId="206" fontId="34" fillId="39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37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37" borderId="1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206" fontId="56" fillId="0" borderId="0" xfId="0" applyNumberFormat="1" applyFont="1" applyBorder="1" applyAlignment="1">
      <alignment/>
    </xf>
    <xf numFmtId="0" fontId="51" fillId="0" borderId="55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9" fontId="54" fillId="0" borderId="0" xfId="80" applyFont="1" applyBorder="1" applyAlignment="1">
      <alignment/>
    </xf>
    <xf numFmtId="0" fontId="56" fillId="0" borderId="0" xfId="0" applyFont="1" applyFill="1" applyBorder="1" applyAlignment="1">
      <alignment wrapText="1"/>
    </xf>
    <xf numFmtId="0" fontId="59" fillId="0" borderId="0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10" fontId="34" fillId="43" borderId="0" xfId="0" applyNumberFormat="1" applyFont="1" applyFill="1" applyBorder="1" applyAlignment="1">
      <alignment/>
    </xf>
    <xf numFmtId="2" fontId="34" fillId="43" borderId="0" xfId="0" applyNumberFormat="1" applyFont="1" applyFill="1" applyBorder="1" applyAlignment="1">
      <alignment/>
    </xf>
    <xf numFmtId="182" fontId="34" fillId="43" borderId="0" xfId="0" applyNumberFormat="1" applyFont="1" applyFill="1" applyBorder="1" applyAlignment="1">
      <alignment/>
    </xf>
    <xf numFmtId="182" fontId="34" fillId="0" borderId="0" xfId="0" applyNumberFormat="1" applyFont="1" applyFill="1" applyBorder="1" applyAlignment="1">
      <alignment/>
    </xf>
    <xf numFmtId="10" fontId="56" fillId="0" borderId="0" xfId="8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0" fontId="53" fillId="0" borderId="0" xfId="80" applyNumberFormat="1" applyFont="1" applyFill="1" applyAlignment="1">
      <alignment/>
    </xf>
    <xf numFmtId="10" fontId="53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9" fillId="44" borderId="55" xfId="0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196" fontId="9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3" fontId="9" fillId="0" borderId="25" xfId="0" applyNumberFormat="1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28" xfId="0" applyNumberFormat="1" applyFont="1" applyBorder="1" applyAlignment="1">
      <alignment/>
    </xf>
    <xf numFmtId="0" fontId="34" fillId="45" borderId="0" xfId="0" applyFont="1" applyFill="1" applyBorder="1" applyAlignment="1">
      <alignment wrapText="1"/>
    </xf>
    <xf numFmtId="219" fontId="9" fillId="37" borderId="61" xfId="0" applyNumberFormat="1" applyFont="1" applyFill="1" applyBorder="1" applyAlignment="1">
      <alignment/>
    </xf>
    <xf numFmtId="183" fontId="9" fillId="0" borderId="13" xfId="87" applyNumberFormat="1" applyFont="1" applyFill="1" applyBorder="1" applyAlignment="1">
      <alignment vertical="center"/>
    </xf>
    <xf numFmtId="196" fontId="9" fillId="45" borderId="31" xfId="0" applyNumberFormat="1" applyFont="1" applyFill="1" applyBorder="1" applyAlignment="1">
      <alignment horizontal="left" vertical="center" wrapText="1"/>
    </xf>
    <xf numFmtId="0" fontId="18" fillId="45" borderId="10" xfId="0" applyFont="1" applyFill="1" applyBorder="1" applyAlignment="1">
      <alignment horizontal="left" vertical="center" indent="1"/>
    </xf>
    <xf numFmtId="0" fontId="26" fillId="0" borderId="0" xfId="0" applyFont="1" applyAlignment="1">
      <alignment horizontal="right" vertical="center"/>
    </xf>
    <xf numFmtId="0" fontId="54" fillId="44" borderId="0" xfId="0" applyFont="1" applyFill="1" applyAlignment="1">
      <alignment vertical="center" wrapText="1"/>
    </xf>
    <xf numFmtId="10" fontId="53" fillId="44" borderId="0" xfId="0" applyNumberFormat="1" applyFont="1" applyFill="1" applyAlignment="1">
      <alignment/>
    </xf>
    <xf numFmtId="213" fontId="9" fillId="0" borderId="31" xfId="0" applyNumberFormat="1" applyFont="1" applyFill="1" applyBorder="1" applyAlignment="1" applyProtection="1">
      <alignment vertical="center" wrapText="1"/>
      <protection locked="0"/>
    </xf>
    <xf numFmtId="1" fontId="9" fillId="0" borderId="31" xfId="80" applyNumberFormat="1" applyFont="1" applyFill="1" applyBorder="1" applyAlignment="1" applyProtection="1">
      <alignment vertical="center" wrapText="1"/>
      <protection locked="0"/>
    </xf>
    <xf numFmtId="1" fontId="8" fillId="0" borderId="12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37" borderId="12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2" xfId="80" applyNumberFormat="1" applyFont="1" applyFill="1" applyBorder="1" applyAlignment="1">
      <alignment horizontal="center" vertical="center"/>
    </xf>
    <xf numFmtId="1" fontId="19" fillId="0" borderId="64" xfId="0" applyNumberFormat="1" applyFont="1" applyFill="1" applyBorder="1" applyAlignment="1">
      <alignment horizontal="center" vertical="center"/>
    </xf>
    <xf numFmtId="1" fontId="9" fillId="0" borderId="63" xfId="0" applyNumberFormat="1" applyFont="1" applyFill="1" applyBorder="1" applyAlignment="1">
      <alignment horizontal="center" vertical="center"/>
    </xf>
    <xf numFmtId="1" fontId="19" fillId="0" borderId="63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12" fillId="0" borderId="46" xfId="0" applyNumberFormat="1" applyFont="1" applyFill="1" applyBorder="1" applyAlignment="1">
      <alignment horizontal="center" vertical="center"/>
    </xf>
    <xf numFmtId="171" fontId="12" fillId="0" borderId="0" xfId="0" applyNumberFormat="1" applyFont="1" applyAlignment="1">
      <alignment vertical="center"/>
    </xf>
    <xf numFmtId="183" fontId="9" fillId="0" borderId="19" xfId="88" applyNumberFormat="1" applyFont="1" applyFill="1" applyBorder="1" applyAlignment="1">
      <alignment vertical="center"/>
    </xf>
    <xf numFmtId="0" fontId="5" fillId="0" borderId="47" xfId="70" applyFill="1" applyBorder="1" applyAlignment="1">
      <alignment vertical="center"/>
      <protection/>
    </xf>
    <xf numFmtId="10" fontId="25" fillId="0" borderId="35" xfId="70" applyNumberFormat="1" applyFont="1" applyBorder="1" applyAlignment="1">
      <alignment vertical="center"/>
      <protection/>
    </xf>
    <xf numFmtId="0" fontId="25" fillId="0" borderId="47" xfId="74" applyFont="1" applyBorder="1" applyAlignment="1">
      <alignment vertical="center"/>
      <protection/>
    </xf>
    <xf numFmtId="0" fontId="24" fillId="0" borderId="47" xfId="74" applyFont="1" applyBorder="1" applyAlignment="1">
      <alignment vertical="center"/>
      <protection/>
    </xf>
    <xf numFmtId="9" fontId="9" fillId="0" borderId="0" xfId="80" applyFont="1" applyAlignment="1">
      <alignment vertical="center"/>
    </xf>
    <xf numFmtId="185" fontId="8" fillId="0" borderId="0" xfId="65" applyNumberFormat="1" applyFont="1" applyFill="1" applyProtection="1">
      <alignment/>
      <protection/>
    </xf>
    <xf numFmtId="171" fontId="9" fillId="0" borderId="15" xfId="88" applyFont="1" applyFill="1" applyBorder="1" applyAlignment="1">
      <alignment vertical="center" wrapText="1"/>
    </xf>
    <xf numFmtId="193" fontId="9" fillId="0" borderId="31" xfId="0" applyNumberFormat="1" applyFont="1" applyFill="1" applyBorder="1" applyAlignment="1" applyProtection="1">
      <alignment vertical="center" wrapText="1"/>
      <protection locked="0"/>
    </xf>
    <xf numFmtId="1" fontId="9" fillId="0" borderId="12" xfId="80" applyNumberFormat="1" applyFont="1" applyFill="1" applyBorder="1" applyAlignment="1">
      <alignment horizontal="center" vertical="center"/>
    </xf>
    <xf numFmtId="1" fontId="9" fillId="0" borderId="13" xfId="80" applyNumberFormat="1" applyFont="1" applyFill="1" applyBorder="1" applyAlignment="1">
      <alignment horizontal="center" vertical="center"/>
    </xf>
    <xf numFmtId="1" fontId="9" fillId="0" borderId="14" xfId="80" applyNumberFormat="1" applyFont="1" applyFill="1" applyBorder="1" applyAlignment="1">
      <alignment horizontal="center" vertical="center"/>
    </xf>
    <xf numFmtId="9" fontId="9" fillId="0" borderId="11" xfId="80" applyFont="1" applyFill="1" applyBorder="1" applyAlignment="1">
      <alignment vertical="center"/>
    </xf>
    <xf numFmtId="9" fontId="20" fillId="0" borderId="0" xfId="0" applyNumberFormat="1" applyFont="1" applyBorder="1" applyAlignment="1">
      <alignment horizontal="left" vertical="center"/>
    </xf>
    <xf numFmtId="183" fontId="20" fillId="0" borderId="0" xfId="0" applyNumberFormat="1" applyFont="1" applyBorder="1" applyAlignment="1">
      <alignment horizontal="left" vertical="center"/>
    </xf>
    <xf numFmtId="183" fontId="9" fillId="46" borderId="13" xfId="88" applyNumberFormat="1" applyFont="1" applyFill="1" applyBorder="1" applyAlignment="1">
      <alignment vertical="center"/>
    </xf>
    <xf numFmtId="213" fontId="9" fillId="0" borderId="62" xfId="0" applyNumberFormat="1" applyFont="1" applyFill="1" applyBorder="1" applyAlignment="1" applyProtection="1">
      <alignment vertical="center" wrapText="1"/>
      <protection locked="0"/>
    </xf>
    <xf numFmtId="213" fontId="9" fillId="40" borderId="62" xfId="0" applyNumberFormat="1" applyFont="1" applyFill="1" applyBorder="1" applyAlignment="1" applyProtection="1">
      <alignment vertical="center" wrapText="1"/>
      <protection locked="0"/>
    </xf>
    <xf numFmtId="213" fontId="9" fillId="0" borderId="0" xfId="0" applyNumberFormat="1" applyFont="1" applyFill="1" applyAlignment="1">
      <alignment vertical="center"/>
    </xf>
    <xf numFmtId="3" fontId="9" fillId="0" borderId="0" xfId="75" applyNumberFormat="1" applyFont="1" applyFill="1" applyBorder="1" applyAlignment="1">
      <alignment vertical="center"/>
      <protection/>
    </xf>
    <xf numFmtId="9" fontId="9" fillId="0" borderId="31" xfId="80" applyFont="1" applyFill="1" applyBorder="1" applyAlignment="1" applyProtection="1">
      <alignment vertical="center" wrapText="1"/>
      <protection locked="0"/>
    </xf>
    <xf numFmtId="9" fontId="9" fillId="0" borderId="12" xfId="80" applyFont="1" applyBorder="1" applyAlignment="1">
      <alignment vertical="center"/>
    </xf>
    <xf numFmtId="9" fontId="9" fillId="0" borderId="13" xfId="80" applyFont="1" applyBorder="1" applyAlignment="1">
      <alignment vertical="center"/>
    </xf>
    <xf numFmtId="9" fontId="9" fillId="0" borderId="14" xfId="80" applyFont="1" applyBorder="1" applyAlignment="1">
      <alignment vertical="center"/>
    </xf>
    <xf numFmtId="3" fontId="9" fillId="0" borderId="27" xfId="0" applyNumberFormat="1" applyFont="1" applyFill="1" applyBorder="1" applyAlignment="1" applyProtection="1">
      <alignment vertical="center" wrapText="1"/>
      <protection locked="0"/>
    </xf>
    <xf numFmtId="9" fontId="54" fillId="37" borderId="0" xfId="80" applyFont="1" applyFill="1" applyBorder="1" applyAlignment="1">
      <alignment/>
    </xf>
    <xf numFmtId="196" fontId="8" fillId="0" borderId="3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181" fontId="9" fillId="0" borderId="34" xfId="66" applyFont="1" applyFill="1" applyBorder="1">
      <alignment/>
      <protection/>
    </xf>
    <xf numFmtId="0" fontId="8" fillId="0" borderId="23" xfId="64" applyFont="1" applyFill="1" applyBorder="1" applyAlignment="1">
      <alignment horizontal="left"/>
      <protection/>
    </xf>
    <xf numFmtId="0" fontId="20" fillId="0" borderId="40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183" fontId="9" fillId="0" borderId="49" xfId="87" applyNumberFormat="1" applyFont="1" applyBorder="1" applyAlignment="1">
      <alignment vertical="center"/>
    </xf>
    <xf numFmtId="183" fontId="9" fillId="0" borderId="17" xfId="87" applyNumberFormat="1" applyFont="1" applyBorder="1" applyAlignment="1">
      <alignment vertical="center"/>
    </xf>
    <xf numFmtId="183" fontId="9" fillId="0" borderId="18" xfId="87" applyNumberFormat="1" applyFont="1" applyBorder="1" applyAlignment="1">
      <alignment vertical="center"/>
    </xf>
    <xf numFmtId="183" fontId="9" fillId="37" borderId="46" xfId="87" applyNumberFormat="1" applyFont="1" applyFill="1" applyBorder="1" applyAlignment="1">
      <alignment vertical="center"/>
    </xf>
    <xf numFmtId="183" fontId="9" fillId="37" borderId="28" xfId="87" applyNumberFormat="1" applyFont="1" applyFill="1" applyBorder="1" applyAlignment="1">
      <alignment vertical="center"/>
    </xf>
    <xf numFmtId="183" fontId="9" fillId="37" borderId="29" xfId="87" applyNumberFormat="1" applyFont="1" applyFill="1" applyBorder="1" applyAlignment="1">
      <alignment vertical="center"/>
    </xf>
    <xf numFmtId="183" fontId="9" fillId="0" borderId="14" xfId="87" applyNumberFormat="1" applyFont="1" applyFill="1" applyBorder="1" applyAlignment="1">
      <alignment vertical="center"/>
    </xf>
    <xf numFmtId="183" fontId="9" fillId="0" borderId="12" xfId="87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/>
    </xf>
    <xf numFmtId="1" fontId="8" fillId="0" borderId="0" xfId="73" applyNumberFormat="1" applyFont="1" applyFill="1" applyBorder="1" applyAlignment="1">
      <alignment horizontal="center" vertical="center"/>
      <protection/>
    </xf>
    <xf numFmtId="10" fontId="9" fillId="0" borderId="31" xfId="8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center" vertical="center"/>
    </xf>
    <xf numFmtId="0" fontId="45" fillId="46" borderId="15" xfId="52" applyFont="1" applyFill="1" applyBorder="1" applyAlignment="1" applyProtection="1">
      <alignment horizontal="center" vertical="center"/>
      <protection/>
    </xf>
    <xf numFmtId="0" fontId="45" fillId="46" borderId="32" xfId="52" applyFont="1" applyFill="1" applyBorder="1" applyAlignment="1" applyProtection="1">
      <alignment horizontal="center" vertical="center"/>
      <protection/>
    </xf>
    <xf numFmtId="0" fontId="45" fillId="46" borderId="24" xfId="52" applyFont="1" applyFill="1" applyBorder="1" applyAlignment="1" applyProtection="1">
      <alignment horizontal="center" vertical="center"/>
      <protection/>
    </xf>
    <xf numFmtId="0" fontId="31" fillId="46" borderId="15" xfId="0" applyFont="1" applyFill="1" applyBorder="1" applyAlignment="1">
      <alignment horizontal="center" vertical="center"/>
    </xf>
    <xf numFmtId="0" fontId="31" fillId="46" borderId="32" xfId="0" applyFont="1" applyFill="1" applyBorder="1" applyAlignment="1">
      <alignment horizontal="center" vertical="center"/>
    </xf>
    <xf numFmtId="0" fontId="31" fillId="46" borderId="24" xfId="0" applyFont="1" applyFill="1" applyBorder="1" applyAlignment="1">
      <alignment horizontal="center" vertical="center"/>
    </xf>
    <xf numFmtId="0" fontId="40" fillId="0" borderId="0" xfId="70" applyFont="1" applyAlignment="1">
      <alignment vertical="center"/>
      <protection/>
    </xf>
    <xf numFmtId="1" fontId="16" fillId="38" borderId="81" xfId="0" applyNumberFormat="1" applyFont="1" applyFill="1" applyBorder="1" applyAlignment="1">
      <alignment horizontal="center" vertical="center" wrapText="1"/>
    </xf>
    <xf numFmtId="1" fontId="16" fillId="38" borderId="57" xfId="0" applyNumberFormat="1" applyFont="1" applyFill="1" applyBorder="1" applyAlignment="1">
      <alignment horizontal="center" vertical="center" wrapText="1"/>
    </xf>
    <xf numFmtId="1" fontId="16" fillId="38" borderId="35" xfId="0" applyNumberFormat="1" applyFont="1" applyFill="1" applyBorder="1" applyAlignment="1">
      <alignment horizontal="center" vertical="center" wrapText="1"/>
    </xf>
    <xf numFmtId="1" fontId="16" fillId="38" borderId="55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" fontId="16" fillId="38" borderId="15" xfId="0" applyNumberFormat="1" applyFont="1" applyFill="1" applyBorder="1" applyAlignment="1">
      <alignment horizontal="center" vertical="center" wrapText="1"/>
    </xf>
    <xf numFmtId="1" fontId="16" fillId="38" borderId="32" xfId="0" applyNumberFormat="1" applyFont="1" applyFill="1" applyBorder="1" applyAlignment="1">
      <alignment horizontal="center" vertical="center" wrapText="1"/>
    </xf>
    <xf numFmtId="1" fontId="16" fillId="38" borderId="24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" fontId="16" fillId="38" borderId="10" xfId="0" applyNumberFormat="1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1" fontId="8" fillId="38" borderId="35" xfId="0" applyNumberFormat="1" applyFont="1" applyFill="1" applyBorder="1" applyAlignment="1">
      <alignment horizontal="center" vertical="center" wrapText="1"/>
    </xf>
    <xf numFmtId="1" fontId="8" fillId="38" borderId="55" xfId="0" applyNumberFormat="1" applyFont="1" applyFill="1" applyBorder="1" applyAlignment="1">
      <alignment horizontal="center" vertical="center" wrapText="1"/>
    </xf>
    <xf numFmtId="0" fontId="8" fillId="0" borderId="35" xfId="74" applyFont="1" applyFill="1" applyBorder="1" applyAlignment="1">
      <alignment vertical="center" wrapText="1"/>
      <protection/>
    </xf>
    <xf numFmtId="0" fontId="8" fillId="0" borderId="47" xfId="74" applyFont="1" applyFill="1" applyBorder="1" applyAlignment="1">
      <alignment vertical="center" wrapText="1"/>
      <protection/>
    </xf>
    <xf numFmtId="0" fontId="8" fillId="0" borderId="55" xfId="74" applyFont="1" applyFill="1" applyBorder="1" applyAlignment="1">
      <alignment vertical="center" wrapText="1"/>
      <protection/>
    </xf>
    <xf numFmtId="0" fontId="8" fillId="37" borderId="35" xfId="0" applyFont="1" applyFill="1" applyBorder="1" applyAlignment="1" quotePrefix="1">
      <alignment vertical="center" wrapText="1"/>
    </xf>
    <xf numFmtId="0" fontId="8" fillId="37" borderId="47" xfId="0" applyFont="1" applyFill="1" applyBorder="1" applyAlignment="1" quotePrefix="1">
      <alignment vertical="center" wrapText="1"/>
    </xf>
    <xf numFmtId="0" fontId="8" fillId="37" borderId="55" xfId="0" applyFont="1" applyFill="1" applyBorder="1" applyAlignment="1" quotePrefix="1">
      <alignment vertical="center" wrapText="1"/>
    </xf>
    <xf numFmtId="0" fontId="8" fillId="38" borderId="35" xfId="0" applyFont="1" applyFill="1" applyBorder="1" applyAlignment="1">
      <alignment horizontal="center" vertical="center" wrapText="1"/>
    </xf>
    <xf numFmtId="0" fontId="8" fillId="38" borderId="55" xfId="0" applyFont="1" applyFill="1" applyBorder="1" applyAlignment="1">
      <alignment horizontal="center" vertical="center" wrapText="1"/>
    </xf>
    <xf numFmtId="0" fontId="16" fillId="38" borderId="35" xfId="0" applyFont="1" applyFill="1" applyBorder="1" applyAlignment="1">
      <alignment horizontal="center" vertical="center" wrapText="1"/>
    </xf>
    <xf numFmtId="0" fontId="16" fillId="38" borderId="5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6" fillId="38" borderId="81" xfId="0" applyFont="1" applyFill="1" applyBorder="1" applyAlignment="1">
      <alignment horizontal="center" vertical="center" wrapText="1"/>
    </xf>
    <xf numFmtId="0" fontId="16" fillId="38" borderId="57" xfId="0" applyFont="1" applyFill="1" applyBorder="1" applyAlignment="1">
      <alignment horizontal="center" vertical="center" wrapText="1"/>
    </xf>
    <xf numFmtId="0" fontId="16" fillId="38" borderId="72" xfId="0" applyFont="1" applyFill="1" applyBorder="1" applyAlignment="1">
      <alignment horizontal="center" vertical="center" wrapText="1"/>
    </xf>
    <xf numFmtId="0" fontId="16" fillId="38" borderId="67" xfId="0" applyFont="1" applyFill="1" applyBorder="1" applyAlignment="1">
      <alignment horizontal="center" vertical="center" wrapText="1"/>
    </xf>
    <xf numFmtId="0" fontId="16" fillId="38" borderId="34" xfId="0" applyFont="1" applyFill="1" applyBorder="1" applyAlignment="1">
      <alignment horizontal="center" vertical="center" wrapText="1"/>
    </xf>
    <xf numFmtId="0" fontId="16" fillId="38" borderId="4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183" fontId="9" fillId="0" borderId="40" xfId="88" applyNumberFormat="1" applyFont="1" applyFill="1" applyBorder="1" applyAlignment="1">
      <alignment horizontal="right" vertical="center"/>
    </xf>
    <xf numFmtId="183" fontId="9" fillId="0" borderId="40" xfId="88" applyNumberFormat="1" applyFont="1" applyBorder="1" applyAlignment="1">
      <alignment horizontal="right" vertical="center"/>
    </xf>
    <xf numFmtId="0" fontId="0" fillId="0" borderId="40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21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43" borderId="15" xfId="0" applyFont="1" applyFill="1" applyBorder="1" applyAlignment="1">
      <alignment horizontal="left" vertical="center" wrapText="1" indent="2"/>
    </xf>
    <xf numFmtId="0" fontId="8" fillId="43" borderId="32" xfId="0" applyFont="1" applyFill="1" applyBorder="1" applyAlignment="1">
      <alignment horizontal="left" vertical="center" wrapText="1" indent="2"/>
    </xf>
    <xf numFmtId="0" fontId="8" fillId="43" borderId="24" xfId="0" applyFont="1" applyFill="1" applyBorder="1" applyAlignment="1">
      <alignment horizontal="left" vertical="center" wrapText="1" indent="2"/>
    </xf>
    <xf numFmtId="17" fontId="16" fillId="38" borderId="35" xfId="0" applyNumberFormat="1" applyFont="1" applyFill="1" applyBorder="1" applyAlignment="1">
      <alignment horizontal="center" vertical="center" wrapText="1"/>
    </xf>
    <xf numFmtId="17" fontId="16" fillId="38" borderId="5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34" fillId="39" borderId="15" xfId="0" applyFont="1" applyFill="1" applyBorder="1" applyAlignment="1">
      <alignment horizontal="center"/>
    </xf>
    <xf numFmtId="0" fontId="34" fillId="0" borderId="15" xfId="0" applyFont="1" applyBorder="1" applyAlignment="1">
      <alignment horizontal="center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alance" xfId="33"/>
    <cellStyle name="BalanceBold" xfId="34"/>
    <cellStyle name="Comma [0]_Bdgt99D09_04Dep" xfId="35"/>
    <cellStyle name="Comma_Bdgt99D09_04Dep" xfId="36"/>
    <cellStyle name="Currency [0]_Bdgt99D09_04Dep" xfId="37"/>
    <cellStyle name="Currency_Bdgt99D09_04Dep" xfId="38"/>
    <cellStyle name="Data" xfId="39"/>
    <cellStyle name="DataBold" xfId="40"/>
    <cellStyle name="Euro" xfId="41"/>
    <cellStyle name="Normal_ACM SF06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3D" xfId="63"/>
    <cellStyle name="Обычный_ACC01ZOS" xfId="64"/>
    <cellStyle name="Обычный_MOD_SOT2" xfId="65"/>
    <cellStyle name="Обычный_MOD_ZMZ7" xfId="66"/>
    <cellStyle name="Обычный_Классификаторы_15.10.03" xfId="67"/>
    <cellStyle name="Обычный_Налоги (2)" xfId="68"/>
    <cellStyle name="Обычный_Новый лист" xfId="69"/>
    <cellStyle name="Обычный_НПК_модель02.12.03" xfId="70"/>
    <cellStyle name="Обычный_Оборудование" xfId="71"/>
    <cellStyle name="Обычный_ПланСчетовВОС" xfId="72"/>
    <cellStyle name="Обычный_р.затр.произ." xfId="73"/>
    <cellStyle name="Обычный_Справочники на 30.05.02." xfId="74"/>
    <cellStyle name="Обычный_Услуги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Б_Д&amp;Р" xfId="83"/>
    <cellStyle name="Тысячи_Б_Д&amp;Р" xfId="84"/>
    <cellStyle name="Comma" xfId="85"/>
    <cellStyle name="Comma [0]" xfId="86"/>
    <cellStyle name="Финансовый_Планирование текущей деятельности" xfId="87"/>
    <cellStyle name="Финансовый_Универсальный расчет по проекту_20.11.03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104775</xdr:rowOff>
    </xdr:from>
    <xdr:to>
      <xdr:col>3</xdr:col>
      <xdr:colOff>819150</xdr:colOff>
      <xdr:row>37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57200" y="4305300"/>
          <a:ext cx="529590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Стоимость собственного капитала можно определить на основе модели оценки капитальных активов (САРМ).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Re = Rf + Bx(ERP) + SCP + SCRP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где,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Re –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стоимость собственного капитала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Rf –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безрисковая ставка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–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бета (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beta) –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мера волатильности акций компании по сравнению с рынком в целом (систематический риск)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ERP –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премия за риск собственного капитала (долгосрочная средняя норма доходности обыкновенных акций сверх долгосрочной средней безрисковой ставки)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SCP –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премия за риск малой компании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SCRP –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премия за риск конкретной компании (несистематический риск)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shiba\&#1052;&#1086;&#1080;%20&#1076;&#1086;&#1082;&#1091;&#1084;&#1077;&#1085;&#1090;&#1099;\&#1055;&#1088;&#1086;&#1077;&#1082;&#1090;&#1099;\&#1054;&#1073;&#1091;&#1093;&#1086;&#1074;\Documents%20and%20Settings\Toshiba\&#1052;&#1086;&#1080;%20&#1076;&#1086;&#1082;&#1091;&#1084;&#1077;&#1085;&#1090;&#1099;\&#1055;&#1088;&#1086;&#1077;&#1082;&#1090;&#1099;\&#1054;&#1073;&#1091;&#1093;&#1086;&#1074;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1.625" style="2" customWidth="1"/>
    <col min="2" max="2" width="34.75390625" style="2" bestFit="1" customWidth="1"/>
    <col min="3" max="3" width="63.00390625" style="2" bestFit="1" customWidth="1"/>
    <col min="4" max="4" width="19.875" style="2" bestFit="1" customWidth="1"/>
    <col min="5" max="16384" width="9.125" style="2" customWidth="1"/>
  </cols>
  <sheetData>
    <row r="1" spans="4:5" ht="20.25" customHeight="1">
      <c r="D1" s="315" t="s">
        <v>801</v>
      </c>
      <c r="E1" s="1"/>
    </row>
    <row r="2" spans="1:4" ht="20.25" customHeight="1">
      <c r="A2" s="265"/>
      <c r="B2" s="1111" t="s">
        <v>12</v>
      </c>
      <c r="C2" s="1111"/>
      <c r="D2" s="1111"/>
    </row>
    <row r="3" spans="2:4" ht="8.25" customHeight="1">
      <c r="B3" s="563"/>
      <c r="C3" s="563"/>
      <c r="D3" s="563"/>
    </row>
    <row r="4" spans="2:4" ht="14.25">
      <c r="B4" s="564" t="s">
        <v>126</v>
      </c>
      <c r="C4" s="564" t="s">
        <v>127</v>
      </c>
      <c r="D4" s="564" t="s">
        <v>128</v>
      </c>
    </row>
    <row r="5" spans="2:4" ht="14.25">
      <c r="B5" s="1115"/>
      <c r="C5" s="1116"/>
      <c r="D5" s="1117"/>
    </row>
    <row r="6" spans="2:4" ht="15">
      <c r="B6" s="565" t="s">
        <v>392</v>
      </c>
      <c r="C6" s="566" t="s">
        <v>391</v>
      </c>
      <c r="D6" s="567"/>
    </row>
    <row r="7" spans="2:4" ht="15">
      <c r="B7" s="589" t="s">
        <v>505</v>
      </c>
      <c r="C7" s="566" t="s">
        <v>504</v>
      </c>
      <c r="D7" s="567"/>
    </row>
    <row r="8" spans="2:4" ht="15.75">
      <c r="B8" s="1112"/>
      <c r="C8" s="1113"/>
      <c r="D8" s="1114"/>
    </row>
    <row r="9" spans="2:4" ht="15">
      <c r="B9" s="589" t="s">
        <v>502</v>
      </c>
      <c r="C9" s="566" t="s">
        <v>503</v>
      </c>
      <c r="D9" s="567" t="s">
        <v>28</v>
      </c>
    </row>
    <row r="10" spans="2:4" ht="15">
      <c r="B10" s="589" t="s">
        <v>716</v>
      </c>
      <c r="C10" s="718" t="s">
        <v>620</v>
      </c>
      <c r="D10" s="567"/>
    </row>
    <row r="11" spans="2:4" ht="15">
      <c r="B11" s="589" t="s">
        <v>533</v>
      </c>
      <c r="C11" s="566" t="s">
        <v>739</v>
      </c>
      <c r="D11" s="567" t="s">
        <v>28</v>
      </c>
    </row>
    <row r="12" spans="2:4" ht="15">
      <c r="B12" s="589" t="s">
        <v>534</v>
      </c>
      <c r="C12" s="566" t="s">
        <v>738</v>
      </c>
      <c r="D12" s="567" t="s">
        <v>28</v>
      </c>
    </row>
    <row r="13" spans="2:4" ht="30">
      <c r="B13" s="589" t="s">
        <v>535</v>
      </c>
      <c r="C13" s="566" t="s">
        <v>741</v>
      </c>
      <c r="D13" s="567" t="s">
        <v>28</v>
      </c>
    </row>
    <row r="14" spans="2:4" ht="15">
      <c r="B14" s="589" t="s">
        <v>734</v>
      </c>
      <c r="C14" s="566" t="s">
        <v>736</v>
      </c>
      <c r="D14" s="567"/>
    </row>
    <row r="15" spans="2:4" ht="15">
      <c r="B15" s="660" t="s">
        <v>393</v>
      </c>
      <c r="C15" s="566" t="s">
        <v>17</v>
      </c>
      <c r="D15" s="567" t="s">
        <v>28</v>
      </c>
    </row>
    <row r="16" spans="2:4" ht="15">
      <c r="B16" s="660" t="s">
        <v>394</v>
      </c>
      <c r="C16" s="566" t="s">
        <v>394</v>
      </c>
      <c r="D16" s="567" t="s">
        <v>28</v>
      </c>
    </row>
    <row r="17" spans="2:4" ht="15">
      <c r="B17" s="660" t="s">
        <v>19</v>
      </c>
      <c r="C17" s="566" t="s">
        <v>20</v>
      </c>
      <c r="D17" s="567" t="s">
        <v>28</v>
      </c>
    </row>
    <row r="18" spans="2:4" ht="15">
      <c r="B18" s="976" t="s">
        <v>621</v>
      </c>
      <c r="C18" s="566" t="s">
        <v>656</v>
      </c>
      <c r="D18" s="567" t="s">
        <v>28</v>
      </c>
    </row>
    <row r="19" spans="2:4" ht="15">
      <c r="B19" s="660" t="s">
        <v>658</v>
      </c>
      <c r="C19" s="566" t="s">
        <v>659</v>
      </c>
      <c r="D19" s="567" t="s">
        <v>28</v>
      </c>
    </row>
    <row r="20" spans="2:4" ht="15">
      <c r="B20" s="660" t="s">
        <v>24</v>
      </c>
      <c r="C20" s="566" t="s">
        <v>26</v>
      </c>
      <c r="D20" s="567" t="s">
        <v>28</v>
      </c>
    </row>
    <row r="21" spans="2:4" ht="15">
      <c r="B21" s="660" t="s">
        <v>25</v>
      </c>
      <c r="C21" s="566" t="s">
        <v>27</v>
      </c>
      <c r="D21" s="567" t="s">
        <v>28</v>
      </c>
    </row>
    <row r="22" spans="2:4" ht="15">
      <c r="B22" s="660" t="s">
        <v>22</v>
      </c>
      <c r="C22" s="566" t="s">
        <v>23</v>
      </c>
      <c r="D22" s="567" t="s">
        <v>28</v>
      </c>
    </row>
    <row r="23" spans="2:4" ht="15">
      <c r="B23" s="660" t="s">
        <v>702</v>
      </c>
      <c r="C23" s="566" t="s">
        <v>700</v>
      </c>
      <c r="D23" s="567"/>
    </row>
    <row r="24" spans="2:4" ht="15">
      <c r="B24" s="660" t="s">
        <v>703</v>
      </c>
      <c r="C24" s="566" t="s">
        <v>701</v>
      </c>
      <c r="D24" s="567"/>
    </row>
    <row r="25" spans="2:4" ht="15">
      <c r="B25" s="660" t="s">
        <v>395</v>
      </c>
      <c r="C25" s="566" t="s">
        <v>21</v>
      </c>
      <c r="D25" s="567"/>
    </row>
    <row r="26" spans="2:4" ht="20.25">
      <c r="B26" s="717" t="s">
        <v>489</v>
      </c>
      <c r="C26" s="566" t="s">
        <v>493</v>
      </c>
      <c r="D26" s="567"/>
    </row>
    <row r="27" spans="2:4" ht="20.25">
      <c r="B27" s="717" t="s">
        <v>490</v>
      </c>
      <c r="C27" s="566" t="s">
        <v>707</v>
      </c>
      <c r="D27" s="567"/>
    </row>
    <row r="28" spans="2:4" ht="20.25">
      <c r="B28" s="717" t="s">
        <v>491</v>
      </c>
      <c r="C28" s="566" t="s">
        <v>492</v>
      </c>
      <c r="D28" s="567"/>
    </row>
    <row r="29" spans="2:4" ht="15.75">
      <c r="B29" s="1112"/>
      <c r="C29" s="1113"/>
      <c r="D29" s="1114"/>
    </row>
  </sheetData>
  <sheetProtection/>
  <mergeCells count="4">
    <mergeCell ref="B2:D2"/>
    <mergeCell ref="B8:D8"/>
    <mergeCell ref="B29:D29"/>
    <mergeCell ref="B5:D5"/>
  </mergeCells>
  <hyperlinks>
    <hyperlink ref="B7" location="Параметры!A1" display="Параметры"/>
    <hyperlink ref="B6" location="Справочники!A1" display="Справочники"/>
    <hyperlink ref="B23" location="ОДДС!A1" display="ОДДС"/>
    <hyperlink ref="B9" location="'План продаж '!A1" display="План продаж"/>
    <hyperlink ref="B10" location="'План закупок '!A1" display="План закупок"/>
    <hyperlink ref="B20" location="Дебиторы!A1" display="Дебиторы"/>
    <hyperlink ref="B13" location="'Управленческий блок'!A1" display="Админ. управленческий  блок"/>
    <hyperlink ref="B24" location="'ОДР '!A1" display="ОДР "/>
    <hyperlink ref="B11" location="'Коммерческий отдел'!A1" display="Коммерческий отдел"/>
    <hyperlink ref="B12" location="'Технический отдел'!A1" display="Технический отдел"/>
    <hyperlink ref="B15" location="'Расчет АМО'!A1" display="Расчет АМО"/>
    <hyperlink ref="B16" location="Инвестиции!A1" display="Инвестиции"/>
    <hyperlink ref="B17" location="'Неопер. ДиР'!A1" display="Неоп. Д.и Р. "/>
    <hyperlink ref="B22" location="БФД!A1" display="БФД"/>
    <hyperlink ref="B25" location="Баланс!A1" display="Баланс"/>
    <hyperlink ref="B26" location="Стратегия!A1" display="Стратегия"/>
    <hyperlink ref="B27" location="'Анализ эффективности'!A1" display="Анализ эффективности"/>
    <hyperlink ref="B28" location="'Стоимость компании'!A1" display="Стоимость компании"/>
    <hyperlink ref="B21" location="Кредиторы!A1" display="Кредиторы"/>
    <hyperlink ref="B18" location="Налоги!A1" display="Налоги"/>
    <hyperlink ref="B19" location="НДС!A1" display="НДС"/>
    <hyperlink ref="B14" location="Расходы!A1" display="Расходы"/>
  </hyperlinks>
  <printOptions horizontalCentered="1"/>
  <pageMargins left="0.1968503937007874" right="0.1968503937007874" top="0.7874015748031497" bottom="0.3937007874015748" header="0.1968503937007874" footer="0.15748031496062992"/>
  <pageSetup horizontalDpi="600" verticalDpi="600" orientation="landscape" paperSize="9" r:id="rId3"/>
  <headerFooter alignWithMargins="0">
    <oddHeader>&amp;L&amp;8&amp;F</oddHeader>
    <oddFooter>&amp;L&amp;8&amp;A&amp;C&amp;8&amp;P из &amp;N&amp;R&amp;8&amp;D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EB90"/>
  <sheetViews>
    <sheetView zoomScale="90" zoomScaleNormal="90" zoomScalePageLayoutView="0" workbookViewId="0" topLeftCell="A1">
      <pane ySplit="22" topLeftCell="A95" activePane="bottomLeft" state="frozen"/>
      <selection pane="topLeft" activeCell="A1" sqref="A1"/>
      <selection pane="bottomLeft" activeCell="H73" sqref="H73"/>
    </sheetView>
  </sheetViews>
  <sheetFormatPr defaultColWidth="9.75390625" defaultRowHeight="12.75"/>
  <cols>
    <col min="1" max="1" width="7.125" style="105" customWidth="1"/>
    <col min="2" max="2" width="53.00390625" style="105" customWidth="1"/>
    <col min="3" max="3" width="14.125" style="104" customWidth="1"/>
    <col min="4" max="4" width="13.625" style="104" customWidth="1"/>
    <col min="5" max="15" width="12.375" style="104" bestFit="1" customWidth="1"/>
    <col min="16" max="16384" width="9.75390625" style="105" customWidth="1"/>
  </cols>
  <sheetData>
    <row r="1" spans="1:3" s="2" customFormat="1" ht="12.75">
      <c r="A1" s="6" t="s">
        <v>129</v>
      </c>
      <c r="C1" s="8"/>
    </row>
    <row r="2" spans="1:11" s="12" customFormat="1" ht="18.75">
      <c r="A2" s="1149" t="s">
        <v>476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</row>
    <row r="3" spans="1:11" s="12" customFormat="1" ht="18.75">
      <c r="A3" s="1149"/>
      <c r="B3" s="1149"/>
      <c r="C3" s="1149"/>
      <c r="D3" s="1149"/>
      <c r="E3" s="1149"/>
      <c r="F3" s="1149"/>
      <c r="G3" s="1149"/>
      <c r="H3" s="1149"/>
      <c r="I3" s="1149"/>
      <c r="J3" s="1149"/>
      <c r="K3" s="1149"/>
    </row>
    <row r="4" spans="1:5" s="12" customFormat="1" ht="13.5">
      <c r="A4" s="96"/>
      <c r="B4" s="96"/>
      <c r="C4" s="97"/>
      <c r="D4" s="97"/>
      <c r="E4" s="98"/>
    </row>
    <row r="5" spans="1:15" s="94" customFormat="1" ht="12.75" customHeight="1">
      <c r="A5" s="1147" t="s">
        <v>255</v>
      </c>
      <c r="B5" s="1147" t="s">
        <v>216</v>
      </c>
      <c r="C5" s="1121">
        <f>D5-1</f>
        <v>2005</v>
      </c>
      <c r="D5" s="1129">
        <f>Параметры!D3</f>
        <v>2006</v>
      </c>
      <c r="E5" s="1130"/>
      <c r="F5" s="1130"/>
      <c r="G5" s="1131"/>
      <c r="H5" s="1133">
        <f>D5+1</f>
        <v>2007</v>
      </c>
      <c r="I5" s="1133">
        <f>H5+1</f>
        <v>2008</v>
      </c>
      <c r="J5" s="1133">
        <f aca="true" t="shared" si="0" ref="J5:O5">I5+1</f>
        <v>2009</v>
      </c>
      <c r="K5" s="1133">
        <f t="shared" si="0"/>
        <v>2010</v>
      </c>
      <c r="L5" s="1133">
        <f t="shared" si="0"/>
        <v>2011</v>
      </c>
      <c r="M5" s="1133">
        <f t="shared" si="0"/>
        <v>2012</v>
      </c>
      <c r="N5" s="1133">
        <f t="shared" si="0"/>
        <v>2013</v>
      </c>
      <c r="O5" s="1133">
        <f t="shared" si="0"/>
        <v>2014</v>
      </c>
    </row>
    <row r="6" spans="1:15" s="94" customFormat="1" ht="12.75">
      <c r="A6" s="1148"/>
      <c r="B6" s="1148"/>
      <c r="C6" s="1122"/>
      <c r="D6" s="763" t="s">
        <v>725</v>
      </c>
      <c r="E6" s="763" t="s">
        <v>726</v>
      </c>
      <c r="F6" s="763" t="s">
        <v>727</v>
      </c>
      <c r="G6" s="763" t="s">
        <v>728</v>
      </c>
      <c r="H6" s="1133"/>
      <c r="I6" s="1133"/>
      <c r="J6" s="1133"/>
      <c r="K6" s="1133"/>
      <c r="L6" s="1133"/>
      <c r="M6" s="1133"/>
      <c r="N6" s="1133"/>
      <c r="O6" s="1133"/>
    </row>
    <row r="7" spans="1:15" s="93" customFormat="1" ht="12.75" customHeight="1">
      <c r="A7" s="11">
        <v>1</v>
      </c>
      <c r="B7" s="54">
        <f aca="true" t="shared" si="1" ref="B7:O7">A7+1</f>
        <v>2</v>
      </c>
      <c r="C7" s="54">
        <f t="shared" si="1"/>
        <v>3</v>
      </c>
      <c r="D7" s="54">
        <f t="shared" si="1"/>
        <v>4</v>
      </c>
      <c r="E7" s="54">
        <f t="shared" si="1"/>
        <v>5</v>
      </c>
      <c r="F7" s="54">
        <f t="shared" si="1"/>
        <v>6</v>
      </c>
      <c r="G7" s="54">
        <f t="shared" si="1"/>
        <v>7</v>
      </c>
      <c r="H7" s="54">
        <f t="shared" si="1"/>
        <v>8</v>
      </c>
      <c r="I7" s="54">
        <f t="shared" si="1"/>
        <v>9</v>
      </c>
      <c r="J7" s="54">
        <f t="shared" si="1"/>
        <v>10</v>
      </c>
      <c r="K7" s="54">
        <f t="shared" si="1"/>
        <v>11</v>
      </c>
      <c r="L7" s="54">
        <f t="shared" si="1"/>
        <v>12</v>
      </c>
      <c r="M7" s="54">
        <f t="shared" si="1"/>
        <v>13</v>
      </c>
      <c r="N7" s="54">
        <f t="shared" si="1"/>
        <v>14</v>
      </c>
      <c r="O7" s="54">
        <f t="shared" si="1"/>
        <v>15</v>
      </c>
    </row>
    <row r="8" spans="1:14" s="104" customFormat="1" ht="12.75">
      <c r="A8" s="106"/>
      <c r="B8" s="106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</row>
    <row r="9" spans="1:15" ht="12.75">
      <c r="A9" s="170" t="s">
        <v>421</v>
      </c>
      <c r="B9" s="146" t="str">
        <f>VLOOKUP(A9,Справочники!$B:$F,3,FALSE)</f>
        <v>Дебиторская задолженность </v>
      </c>
      <c r="C9" s="227"/>
      <c r="D9" s="229"/>
      <c r="E9" s="230"/>
      <c r="F9" s="229"/>
      <c r="G9" s="229"/>
      <c r="H9" s="229"/>
      <c r="I9" s="229"/>
      <c r="J9" s="229"/>
      <c r="K9" s="229"/>
      <c r="L9" s="229"/>
      <c r="M9" s="229"/>
      <c r="N9" s="229"/>
      <c r="O9" s="229"/>
    </row>
    <row r="10" spans="1:132" s="127" customFormat="1" ht="11.25">
      <c r="A10" s="126" t="s">
        <v>240</v>
      </c>
      <c r="C10" s="128"/>
      <c r="D10" s="171" t="e">
        <f>C14/((C12)/30)</f>
        <v>#DIV/0!</v>
      </c>
      <c r="E10" s="171">
        <f aca="true" t="shared" si="2" ref="E10:O10">D14/((D12)/30)</f>
        <v>6.96973760296421</v>
      </c>
      <c r="F10" s="171">
        <f t="shared" si="2"/>
        <v>11.828499707184909</v>
      </c>
      <c r="G10" s="171">
        <f t="shared" si="2"/>
        <v>13.184443201868705</v>
      </c>
      <c r="H10" s="171">
        <f t="shared" si="2"/>
        <v>13.088363716541192</v>
      </c>
      <c r="I10" s="171">
        <f t="shared" si="2"/>
        <v>5.649907652221427</v>
      </c>
      <c r="J10" s="171">
        <f t="shared" si="2"/>
        <v>6.2034539509373054</v>
      </c>
      <c r="K10" s="171">
        <f t="shared" si="2"/>
        <v>6.460239113466489</v>
      </c>
      <c r="L10" s="171">
        <f t="shared" si="2"/>
        <v>185.75428983417447</v>
      </c>
      <c r="M10" s="171">
        <f t="shared" si="2"/>
        <v>0</v>
      </c>
      <c r="N10" s="171" t="e">
        <f t="shared" si="2"/>
        <v>#DIV/0!</v>
      </c>
      <c r="O10" s="171" t="e">
        <f t="shared" si="2"/>
        <v>#DIV/0!</v>
      </c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</row>
    <row r="11" spans="1:132" ht="12.75">
      <c r="A11" s="120" t="s">
        <v>163</v>
      </c>
      <c r="C11" s="114"/>
      <c r="D11" s="115">
        <f aca="true" t="shared" si="3" ref="D11:O11">D29+D37+D45+D53+D61+D69+D77</f>
        <v>552.6770293609673</v>
      </c>
      <c r="E11" s="115">
        <f t="shared" si="3"/>
        <v>211947.39726027398</v>
      </c>
      <c r="F11" s="115">
        <f t="shared" si="3"/>
        <v>495478.76712328766</v>
      </c>
      <c r="G11" s="115">
        <f t="shared" si="3"/>
        <v>588399.7260273972</v>
      </c>
      <c r="H11" s="115">
        <f t="shared" si="3"/>
        <v>619629.3150684931</v>
      </c>
      <c r="I11" s="115">
        <f t="shared" si="3"/>
        <v>2285199.315068493</v>
      </c>
      <c r="J11" s="115">
        <f t="shared" si="3"/>
        <v>5430586.301369864</v>
      </c>
      <c r="K11" s="115">
        <f t="shared" si="3"/>
        <v>9342367.123287672</v>
      </c>
      <c r="L11" s="115">
        <f t="shared" si="3"/>
        <v>5882219.178082191</v>
      </c>
      <c r="M11" s="115">
        <f t="shared" si="3"/>
        <v>0</v>
      </c>
      <c r="N11" s="115">
        <f t="shared" si="3"/>
        <v>0</v>
      </c>
      <c r="O11" s="115">
        <f t="shared" si="3"/>
        <v>0</v>
      </c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</row>
    <row r="12" spans="2:132" ht="12.75">
      <c r="B12" s="105" t="s">
        <v>477</v>
      </c>
      <c r="C12" s="138">
        <f>C30+C38+C46+C54+C62+C70+C78</f>
        <v>0</v>
      </c>
      <c r="D12" s="138">
        <f aca="true" t="shared" si="4" ref="D12:O12">D30+D38+D46+D54+D62+D70+D78</f>
        <v>912290</v>
      </c>
      <c r="E12" s="138">
        <f t="shared" si="4"/>
        <v>1256656.6666666667</v>
      </c>
      <c r="F12" s="138">
        <f t="shared" si="4"/>
        <v>1338850</v>
      </c>
      <c r="G12" s="138">
        <f t="shared" si="4"/>
        <v>1420260</v>
      </c>
      <c r="H12" s="138">
        <f t="shared" si="4"/>
        <v>12134000</v>
      </c>
      <c r="I12" s="138">
        <f t="shared" si="4"/>
        <v>26262400</v>
      </c>
      <c r="J12" s="138">
        <f t="shared" si="4"/>
        <v>43384000</v>
      </c>
      <c r="K12" s="138">
        <f t="shared" si="4"/>
        <v>949999.9999999999</v>
      </c>
      <c r="L12" s="138">
        <f t="shared" si="4"/>
        <v>608000</v>
      </c>
      <c r="M12" s="138">
        <f t="shared" si="4"/>
        <v>0</v>
      </c>
      <c r="N12" s="138">
        <f t="shared" si="4"/>
        <v>0</v>
      </c>
      <c r="O12" s="138">
        <f t="shared" si="4"/>
        <v>0</v>
      </c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</row>
    <row r="13" spans="2:132" ht="12.75">
      <c r="B13" s="105" t="s">
        <v>223</v>
      </c>
      <c r="C13" s="172"/>
      <c r="D13" s="172">
        <f aca="true" t="shared" si="5" ref="D13:O13">D31+D39+D47+D55+D63+D71+D79</f>
        <v>-700895.2797690871</v>
      </c>
      <c r="E13" s="172">
        <f t="shared" si="5"/>
        <v>-973125.296803653</v>
      </c>
      <c r="F13" s="172">
        <f t="shared" si="5"/>
        <v>-1245929.0410958903</v>
      </c>
      <c r="G13" s="172">
        <f t="shared" si="5"/>
        <v>-1389030.4109589038</v>
      </c>
      <c r="H13" s="172">
        <f t="shared" si="5"/>
        <v>-10468430</v>
      </c>
      <c r="I13" s="172">
        <f t="shared" si="5"/>
        <v>-23117013.01369863</v>
      </c>
      <c r="J13" s="172">
        <f t="shared" si="5"/>
        <v>-39472219.1780822</v>
      </c>
      <c r="K13" s="172">
        <f t="shared" si="5"/>
        <v>-4410147.945205479</v>
      </c>
      <c r="L13" s="172">
        <f t="shared" si="5"/>
        <v>-6490219.178082191</v>
      </c>
      <c r="M13" s="172">
        <f t="shared" si="5"/>
        <v>0</v>
      </c>
      <c r="N13" s="172">
        <f t="shared" si="5"/>
        <v>0</v>
      </c>
      <c r="O13" s="172">
        <f t="shared" si="5"/>
        <v>0</v>
      </c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</row>
    <row r="14" spans="1:132" ht="12.75">
      <c r="A14" s="131" t="s">
        <v>261</v>
      </c>
      <c r="B14" s="132"/>
      <c r="C14" s="138">
        <f>C32+C40+C48+C56+C64+C72+C80</f>
        <v>552.6770293609673</v>
      </c>
      <c r="D14" s="138">
        <f aca="true" t="shared" si="6" ref="D14:O14">D32+D40+D48+D56+D64+D72+D80</f>
        <v>211947.39726027398</v>
      </c>
      <c r="E14" s="138">
        <f t="shared" si="6"/>
        <v>495478.76712328766</v>
      </c>
      <c r="F14" s="138">
        <f t="shared" si="6"/>
        <v>588399.7260273972</v>
      </c>
      <c r="G14" s="138">
        <f t="shared" si="6"/>
        <v>619629.3150684931</v>
      </c>
      <c r="H14" s="138">
        <f t="shared" si="6"/>
        <v>2285199.315068493</v>
      </c>
      <c r="I14" s="138">
        <f t="shared" si="6"/>
        <v>5430586.301369864</v>
      </c>
      <c r="J14" s="138">
        <f t="shared" si="6"/>
        <v>9342367.123287672</v>
      </c>
      <c r="K14" s="138">
        <f t="shared" si="6"/>
        <v>5882219.178082191</v>
      </c>
      <c r="L14" s="138">
        <f t="shared" si="6"/>
        <v>0</v>
      </c>
      <c r="M14" s="138">
        <f t="shared" si="6"/>
        <v>0</v>
      </c>
      <c r="N14" s="138">
        <f t="shared" si="6"/>
        <v>0</v>
      </c>
      <c r="O14" s="138">
        <f t="shared" si="6"/>
        <v>0</v>
      </c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</row>
    <row r="15" spans="1:15" s="232" customFormat="1" ht="12.75">
      <c r="A15" s="120" t="s">
        <v>236</v>
      </c>
      <c r="C15" s="233"/>
      <c r="D15" s="233">
        <f aca="true" t="shared" si="7" ref="D15:O15">D14-C14</f>
        <v>211394.72023091302</v>
      </c>
      <c r="E15" s="233">
        <f t="shared" si="7"/>
        <v>283531.3698630137</v>
      </c>
      <c r="F15" s="233">
        <f t="shared" si="7"/>
        <v>92920.95890410955</v>
      </c>
      <c r="G15" s="233">
        <f t="shared" si="7"/>
        <v>31229.589041095925</v>
      </c>
      <c r="H15" s="233">
        <f t="shared" si="7"/>
        <v>1665570</v>
      </c>
      <c r="I15" s="233">
        <f t="shared" si="7"/>
        <v>3145386.9863013704</v>
      </c>
      <c r="J15" s="233">
        <f t="shared" si="7"/>
        <v>3911780.8219178086</v>
      </c>
      <c r="K15" s="233">
        <f t="shared" si="7"/>
        <v>-3460147.945205481</v>
      </c>
      <c r="L15" s="233">
        <f t="shared" si="7"/>
        <v>-5882219.178082191</v>
      </c>
      <c r="M15" s="233">
        <f t="shared" si="7"/>
        <v>0</v>
      </c>
      <c r="N15" s="233">
        <f t="shared" si="7"/>
        <v>0</v>
      </c>
      <c r="O15" s="233">
        <f t="shared" si="7"/>
        <v>0</v>
      </c>
    </row>
    <row r="16" ht="12.75">
      <c r="C16" s="234"/>
    </row>
    <row r="17" spans="1:3" ht="12.75">
      <c r="A17" s="170" t="s">
        <v>445</v>
      </c>
      <c r="B17" s="146" t="str">
        <f>VLOOKUP(A17,Справочники!$B:$F,3,FALSE)</f>
        <v>Авансы полученные от покупателей </v>
      </c>
      <c r="C17" s="234"/>
    </row>
    <row r="18" spans="1:15" ht="12.75">
      <c r="A18" s="137" t="s">
        <v>475</v>
      </c>
      <c r="B18" s="136"/>
      <c r="C18" s="234"/>
      <c r="D18" s="139">
        <f>D84</f>
        <v>281174.43868739204</v>
      </c>
      <c r="E18" s="139">
        <f aca="true" t="shared" si="8" ref="E18:O18">E84</f>
        <v>281174.43868739204</v>
      </c>
      <c r="F18" s="139">
        <f t="shared" si="8"/>
        <v>281174.43868739204</v>
      </c>
      <c r="G18" s="139">
        <f t="shared" si="8"/>
        <v>281174.43868739204</v>
      </c>
      <c r="H18" s="139">
        <f t="shared" si="8"/>
        <v>281174.43868739204</v>
      </c>
      <c r="I18" s="139">
        <f t="shared" si="8"/>
        <v>281174.43868739204</v>
      </c>
      <c r="J18" s="139">
        <f t="shared" si="8"/>
        <v>281174.43868739204</v>
      </c>
      <c r="K18" s="139">
        <f t="shared" si="8"/>
        <v>281174.43868739204</v>
      </c>
      <c r="L18" s="139">
        <f t="shared" si="8"/>
        <v>281174.43868739204</v>
      </c>
      <c r="M18" s="139">
        <f t="shared" si="8"/>
        <v>281174.43868739204</v>
      </c>
      <c r="N18" s="139">
        <f t="shared" si="8"/>
        <v>281174.43868739204</v>
      </c>
      <c r="O18" s="139">
        <f t="shared" si="8"/>
        <v>281174.43868739204</v>
      </c>
    </row>
    <row r="19" spans="1:15" ht="12.75">
      <c r="A19" s="136"/>
      <c r="B19" s="136" t="s">
        <v>474</v>
      </c>
      <c r="C19" s="234"/>
      <c r="D19" s="139">
        <f>D85</f>
        <v>0</v>
      </c>
      <c r="E19" s="139">
        <f aca="true" t="shared" si="9" ref="E19:O19">E85</f>
        <v>0</v>
      </c>
      <c r="F19" s="139">
        <f t="shared" si="9"/>
        <v>0</v>
      </c>
      <c r="G19" s="139">
        <f t="shared" si="9"/>
        <v>0</v>
      </c>
      <c r="H19" s="139">
        <f t="shared" si="9"/>
        <v>0</v>
      </c>
      <c r="I19" s="139">
        <f t="shared" si="9"/>
        <v>0</v>
      </c>
      <c r="J19" s="139">
        <f t="shared" si="9"/>
        <v>0</v>
      </c>
      <c r="K19" s="139">
        <f t="shared" si="9"/>
        <v>0</v>
      </c>
      <c r="L19" s="139">
        <f t="shared" si="9"/>
        <v>0</v>
      </c>
      <c r="M19" s="139">
        <f t="shared" si="9"/>
        <v>0</v>
      </c>
      <c r="N19" s="139">
        <f t="shared" si="9"/>
        <v>0</v>
      </c>
      <c r="O19" s="139">
        <f t="shared" si="9"/>
        <v>0</v>
      </c>
    </row>
    <row r="20" spans="1:15" ht="12.75">
      <c r="A20" s="136"/>
      <c r="B20" s="136" t="s">
        <v>473</v>
      </c>
      <c r="C20" s="234"/>
      <c r="D20" s="139">
        <f>D86</f>
        <v>0</v>
      </c>
      <c r="E20" s="510">
        <f aca="true" t="shared" si="10" ref="E20:O20">E86</f>
        <v>0</v>
      </c>
      <c r="F20" s="510">
        <f t="shared" si="10"/>
        <v>0</v>
      </c>
      <c r="G20" s="510">
        <f t="shared" si="10"/>
        <v>0</v>
      </c>
      <c r="H20" s="510">
        <f t="shared" si="10"/>
        <v>0</v>
      </c>
      <c r="I20" s="510">
        <f t="shared" si="10"/>
        <v>0</v>
      </c>
      <c r="J20" s="510">
        <f t="shared" si="10"/>
        <v>0</v>
      </c>
      <c r="K20" s="510">
        <f t="shared" si="10"/>
        <v>0</v>
      </c>
      <c r="L20" s="510">
        <f t="shared" si="10"/>
        <v>0</v>
      </c>
      <c r="M20" s="510">
        <f t="shared" si="10"/>
        <v>0</v>
      </c>
      <c r="N20" s="510">
        <f t="shared" si="10"/>
        <v>0</v>
      </c>
      <c r="O20" s="510">
        <f t="shared" si="10"/>
        <v>0</v>
      </c>
    </row>
    <row r="21" spans="1:15" s="123" customFormat="1" ht="13.5" thickBot="1">
      <c r="A21" s="235" t="s">
        <v>72</v>
      </c>
      <c r="B21" s="236"/>
      <c r="C21" s="511">
        <f>C87</f>
        <v>281174.43868739204</v>
      </c>
      <c r="D21" s="231">
        <f>D87</f>
        <v>281174.43868739204</v>
      </c>
      <c r="E21" s="231">
        <f aca="true" t="shared" si="11" ref="E21:O21">E87</f>
        <v>281174.43868739204</v>
      </c>
      <c r="F21" s="231">
        <f t="shared" si="11"/>
        <v>281174.43868739204</v>
      </c>
      <c r="G21" s="231">
        <f t="shared" si="11"/>
        <v>281174.43868739204</v>
      </c>
      <c r="H21" s="231">
        <f t="shared" si="11"/>
        <v>281174.43868739204</v>
      </c>
      <c r="I21" s="231">
        <f t="shared" si="11"/>
        <v>281174.43868739204</v>
      </c>
      <c r="J21" s="231">
        <f t="shared" si="11"/>
        <v>281174.43868739204</v>
      </c>
      <c r="K21" s="231">
        <f t="shared" si="11"/>
        <v>281174.43868739204</v>
      </c>
      <c r="L21" s="231">
        <f t="shared" si="11"/>
        <v>281174.43868739204</v>
      </c>
      <c r="M21" s="231">
        <f t="shared" si="11"/>
        <v>281174.43868739204</v>
      </c>
      <c r="N21" s="231">
        <f t="shared" si="11"/>
        <v>281174.43868739204</v>
      </c>
      <c r="O21" s="231">
        <f t="shared" si="11"/>
        <v>281174.43868739204</v>
      </c>
    </row>
    <row r="22" spans="1:15" ht="13.5" thickTop="1">
      <c r="A22" s="120" t="s">
        <v>236</v>
      </c>
      <c r="B22" s="232"/>
      <c r="D22" s="233">
        <f aca="true" t="shared" si="12" ref="D22:O22">D21-C21</f>
        <v>0</v>
      </c>
      <c r="E22" s="233">
        <f t="shared" si="12"/>
        <v>0</v>
      </c>
      <c r="F22" s="233">
        <f t="shared" si="12"/>
        <v>0</v>
      </c>
      <c r="G22" s="233">
        <f t="shared" si="12"/>
        <v>0</v>
      </c>
      <c r="H22" s="233">
        <f t="shared" si="12"/>
        <v>0</v>
      </c>
      <c r="I22" s="233">
        <f t="shared" si="12"/>
        <v>0</v>
      </c>
      <c r="J22" s="233">
        <f t="shared" si="12"/>
        <v>0</v>
      </c>
      <c r="K22" s="233">
        <f t="shared" si="12"/>
        <v>0</v>
      </c>
      <c r="L22" s="233">
        <f t="shared" si="12"/>
        <v>0</v>
      </c>
      <c r="M22" s="233">
        <f t="shared" si="12"/>
        <v>0</v>
      </c>
      <c r="N22" s="233">
        <f t="shared" si="12"/>
        <v>0</v>
      </c>
      <c r="O22" s="233">
        <f t="shared" si="12"/>
        <v>0</v>
      </c>
    </row>
    <row r="24" spans="1:132" ht="12.75">
      <c r="A24" s="120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</row>
    <row r="25" spans="1:132" ht="12.75">
      <c r="A25" s="107" t="s">
        <v>350</v>
      </c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</row>
    <row r="26" spans="1:132" ht="12.75">
      <c r="A26" s="120"/>
      <c r="C26" s="114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</row>
    <row r="27" spans="1:132" ht="12.75">
      <c r="A27" s="167" t="s">
        <v>289</v>
      </c>
      <c r="B27" s="146" t="str">
        <f>VLOOKUP(A27,Справочники!$B:$F,4,FALSE)</f>
        <v>Поступления от продажи специализированных комплексов</v>
      </c>
      <c r="C27" s="114"/>
      <c r="D27" s="115"/>
      <c r="E27" s="115" t="s">
        <v>239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</row>
    <row r="28" spans="1:132" s="127" customFormat="1" ht="11.25">
      <c r="A28" s="126" t="s">
        <v>240</v>
      </c>
      <c r="C28" s="128"/>
      <c r="D28" s="129">
        <v>100</v>
      </c>
      <c r="E28" s="129">
        <f>D28</f>
        <v>100</v>
      </c>
      <c r="F28" s="129">
        <f aca="true" t="shared" si="13" ref="F28:O28">E28</f>
        <v>100</v>
      </c>
      <c r="G28" s="129">
        <f t="shared" si="13"/>
        <v>100</v>
      </c>
      <c r="H28" s="129">
        <f t="shared" si="13"/>
        <v>100</v>
      </c>
      <c r="I28" s="129">
        <f t="shared" si="13"/>
        <v>100</v>
      </c>
      <c r="J28" s="129">
        <f t="shared" si="13"/>
        <v>100</v>
      </c>
      <c r="K28" s="129">
        <f t="shared" si="13"/>
        <v>100</v>
      </c>
      <c r="L28" s="129">
        <f t="shared" si="13"/>
        <v>100</v>
      </c>
      <c r="M28" s="129">
        <f t="shared" si="13"/>
        <v>100</v>
      </c>
      <c r="N28" s="129">
        <f t="shared" si="13"/>
        <v>100</v>
      </c>
      <c r="O28" s="129">
        <f t="shared" si="13"/>
        <v>100</v>
      </c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</row>
    <row r="29" spans="1:132" ht="12.75">
      <c r="A29" s="120" t="s">
        <v>163</v>
      </c>
      <c r="C29" s="114"/>
      <c r="D29" s="115">
        <f aca="true" t="shared" si="14" ref="D29:O29">C32</f>
        <v>552.6770293609673</v>
      </c>
      <c r="E29" s="115">
        <f t="shared" si="14"/>
        <v>180717.80821917808</v>
      </c>
      <c r="F29" s="115">
        <f t="shared" si="14"/>
        <v>421890.4109589041</v>
      </c>
      <c r="G29" s="115">
        <f t="shared" si="14"/>
        <v>482345.20547945204</v>
      </c>
      <c r="H29" s="115">
        <f t="shared" si="14"/>
        <v>482345.20547945204</v>
      </c>
      <c r="I29" s="115">
        <f t="shared" si="14"/>
        <v>1857610.9589041094</v>
      </c>
      <c r="J29" s="115">
        <f t="shared" si="14"/>
        <v>4202739.726027397</v>
      </c>
      <c r="K29" s="115">
        <f t="shared" si="14"/>
        <v>7435616.438356164</v>
      </c>
      <c r="L29" s="115">
        <f t="shared" si="14"/>
        <v>4849315.06849315</v>
      </c>
      <c r="M29" s="115">
        <f t="shared" si="14"/>
        <v>0</v>
      </c>
      <c r="N29" s="115">
        <f t="shared" si="14"/>
        <v>0</v>
      </c>
      <c r="O29" s="115">
        <f t="shared" si="14"/>
        <v>0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</row>
    <row r="30" spans="2:132" ht="12.75">
      <c r="B30" s="136" t="s">
        <v>77</v>
      </c>
      <c r="C30" s="168"/>
      <c r="D30" s="115">
        <f>((VLOOKUP(Дебиторы!$A27,'ОДР '!$B$10:$O$27,COLUMN('ОДР '!D:D)-1,FALSE)*(1+Параметры!D$38)*(1-Параметры!$D$13)))</f>
        <v>659620</v>
      </c>
      <c r="E30" s="115">
        <f>((VLOOKUP(Дебиторы!$A27,'ОДР '!$B$10:$O$27,COLUMN('ОДР '!E:E)-1,FALSE)*(1+Параметры!E$38)*(1-Параметры!$D$13)))</f>
        <v>880280</v>
      </c>
      <c r="F30" s="115">
        <f>((VLOOKUP(Дебиторы!$A27,'ОДР '!$B$10:$O$27,COLUMN('ОДР '!F:F)-1,FALSE)*(1+Параметры!F$38)*(1-Параметры!$D$13)))</f>
        <v>880280</v>
      </c>
      <c r="G30" s="115">
        <f>((VLOOKUP(Дебиторы!$A27,'ОДР '!$B$10:$O$27,COLUMN('ОДР '!G:G)-1,FALSE)*(1+Параметры!G$38)*(1-Параметры!$D$13)))</f>
        <v>880280</v>
      </c>
      <c r="H30" s="115">
        <f>((VLOOKUP(Дебиторы!$A27,'ОДР '!$B$10:$O$27,COLUMN('ОДР '!H:H)-1,FALSE)*(1+Параметры!H$38)*(1-Параметры!$D$13)))</f>
        <v>5900000</v>
      </c>
      <c r="I30" s="115">
        <f>((VLOOKUP(Дебиторы!$A27,'ОДР '!$B$10:$O$27,COLUMN('ОДР '!I:I)-1,FALSE)*(1+Параметры!I$38)*(1-Параметры!$D$13)))</f>
        <v>9440000</v>
      </c>
      <c r="J30" s="115">
        <f>((VLOOKUP(Дебиторы!$A27,'ОДР '!$B$10:$O$27,COLUMN('ОДР '!J:J)-1,FALSE)*(1+Параметры!J$38)*(1-Параметры!$D$13)))</f>
        <v>17700000</v>
      </c>
      <c r="K30" s="115">
        <f>((VLOOKUP(Дебиторы!$A27,'ОДР '!$B$10:$O$27,COLUMN('ОДР '!K:K)-1,FALSE)*(1+Параметры!K$38)*(1-Параметры!$D$13)))</f>
        <v>0</v>
      </c>
      <c r="L30" s="115">
        <f>((VLOOKUP(Дебиторы!$A27,'ОДР '!$B$10:$O$27,COLUMN('ОДР '!L:L)-1,FALSE)*(1+Параметры!L$38)*(1-Параметры!$D$13)))</f>
        <v>0</v>
      </c>
      <c r="M30" s="115">
        <f>((VLOOKUP(Дебиторы!$A27,'ОДР '!$B$10:$O$27,COLUMN('ОДР '!M:M)-1,FALSE)*(1+Параметры!M$38)*(1-Параметры!$D$13)))</f>
        <v>0</v>
      </c>
      <c r="N30" s="115">
        <f>((VLOOKUP(Дебиторы!$A27,'ОДР '!$B$10:$O$27,COLUMN('ОДР '!N:N)-1,FALSE)*(1+Параметры!N$38)*(1-Параметры!$D$13)))</f>
        <v>0</v>
      </c>
      <c r="O30" s="115">
        <f>((VLOOKUP(Дебиторы!$A27,'ОДР '!$B$10:$O$27,COLUMN('ОДР '!O:O)-1,FALSE)*(1+Параметры!O$38)*(1-Параметры!$D$13)))</f>
        <v>0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</row>
    <row r="31" spans="2:132" ht="12.75">
      <c r="B31" s="105" t="s">
        <v>223</v>
      </c>
      <c r="C31" s="115"/>
      <c r="D31" s="115">
        <f aca="true" t="shared" si="15" ref="D31:O31">-C32-D30+D32</f>
        <v>-479454.8688101829</v>
      </c>
      <c r="E31" s="115">
        <f t="shared" si="15"/>
        <v>-639107.397260274</v>
      </c>
      <c r="F31" s="115">
        <f t="shared" si="15"/>
        <v>-819825.205479452</v>
      </c>
      <c r="G31" s="115">
        <f t="shared" si="15"/>
        <v>-880279.9999999999</v>
      </c>
      <c r="H31" s="115">
        <f t="shared" si="15"/>
        <v>-4524734.2465753425</v>
      </c>
      <c r="I31" s="115">
        <f t="shared" si="15"/>
        <v>-7094871.232876712</v>
      </c>
      <c r="J31" s="115">
        <f t="shared" si="15"/>
        <v>-14467123.287671234</v>
      </c>
      <c r="K31" s="115">
        <f t="shared" si="15"/>
        <v>-2586301.3698630137</v>
      </c>
      <c r="L31" s="115">
        <f t="shared" si="15"/>
        <v>-4849315.06849315</v>
      </c>
      <c r="M31" s="115">
        <f t="shared" si="15"/>
        <v>0</v>
      </c>
      <c r="N31" s="115">
        <f t="shared" si="15"/>
        <v>0</v>
      </c>
      <c r="O31" s="115">
        <f t="shared" si="15"/>
        <v>0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</row>
    <row r="32" spans="1:132" ht="12.75">
      <c r="A32" s="131" t="s">
        <v>261</v>
      </c>
      <c r="B32" s="132"/>
      <c r="C32" s="561">
        <f>16000/Параметры!C14</f>
        <v>552.6770293609673</v>
      </c>
      <c r="D32" s="134">
        <f>(C30+D30)/365*D28</f>
        <v>180717.80821917808</v>
      </c>
      <c r="E32" s="134">
        <f aca="true" t="shared" si="16" ref="E32:O32">(D30+E30)/365*E28</f>
        <v>421890.4109589041</v>
      </c>
      <c r="F32" s="134">
        <f t="shared" si="16"/>
        <v>482345.20547945204</v>
      </c>
      <c r="G32" s="134">
        <f t="shared" si="16"/>
        <v>482345.20547945204</v>
      </c>
      <c r="H32" s="134">
        <f t="shared" si="16"/>
        <v>1857610.9589041094</v>
      </c>
      <c r="I32" s="134">
        <f t="shared" si="16"/>
        <v>4202739.726027397</v>
      </c>
      <c r="J32" s="134">
        <f t="shared" si="16"/>
        <v>7435616.438356164</v>
      </c>
      <c r="K32" s="134">
        <f t="shared" si="16"/>
        <v>4849315.06849315</v>
      </c>
      <c r="L32" s="134">
        <f t="shared" si="16"/>
        <v>0</v>
      </c>
      <c r="M32" s="134">
        <f t="shared" si="16"/>
        <v>0</v>
      </c>
      <c r="N32" s="134">
        <f t="shared" si="16"/>
        <v>0</v>
      </c>
      <c r="O32" s="134">
        <f t="shared" si="16"/>
        <v>0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</row>
    <row r="33" spans="1:132" ht="12.75">
      <c r="A33" s="120"/>
      <c r="C33" s="114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</row>
    <row r="34" spans="1:132" ht="12.75">
      <c r="A34" s="120"/>
      <c r="C34" s="114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</row>
    <row r="35" spans="1:132" ht="12.75">
      <c r="A35" s="167" t="s">
        <v>290</v>
      </c>
      <c r="B35" s="146" t="str">
        <f>VLOOKUP(A35,Справочники!$B:$F,4,FALSE)</f>
        <v>Поступления от продажи серверных решений</v>
      </c>
      <c r="C35" s="114"/>
      <c r="D35" s="115"/>
      <c r="E35" s="115" t="s">
        <v>239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</row>
    <row r="36" spans="1:132" s="127" customFormat="1" ht="11.25">
      <c r="A36" s="126" t="s">
        <v>240</v>
      </c>
      <c r="C36" s="128"/>
      <c r="D36" s="129">
        <v>60</v>
      </c>
      <c r="E36" s="129">
        <f>D36</f>
        <v>60</v>
      </c>
      <c r="F36" s="129">
        <f aca="true" t="shared" si="17" ref="F36:O36">E36</f>
        <v>60</v>
      </c>
      <c r="G36" s="129">
        <f t="shared" si="17"/>
        <v>60</v>
      </c>
      <c r="H36" s="129">
        <f t="shared" si="17"/>
        <v>60</v>
      </c>
      <c r="I36" s="129">
        <f t="shared" si="17"/>
        <v>60</v>
      </c>
      <c r="J36" s="129">
        <f t="shared" si="17"/>
        <v>60</v>
      </c>
      <c r="K36" s="129">
        <f t="shared" si="17"/>
        <v>60</v>
      </c>
      <c r="L36" s="129">
        <f t="shared" si="17"/>
        <v>60</v>
      </c>
      <c r="M36" s="129">
        <f t="shared" si="17"/>
        <v>60</v>
      </c>
      <c r="N36" s="129">
        <f t="shared" si="17"/>
        <v>60</v>
      </c>
      <c r="O36" s="129">
        <f t="shared" si="17"/>
        <v>60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</row>
    <row r="37" spans="1:132" ht="12.75">
      <c r="A37" s="120" t="s">
        <v>163</v>
      </c>
      <c r="C37" s="114"/>
      <c r="D37" s="115">
        <f aca="true" t="shared" si="18" ref="D37:O37">C40</f>
        <v>0</v>
      </c>
      <c r="E37" s="115">
        <f t="shared" si="18"/>
        <v>29580.82191780822</v>
      </c>
      <c r="F37" s="115">
        <f t="shared" si="18"/>
        <v>69054.24657534246</v>
      </c>
      <c r="G37" s="115">
        <f t="shared" si="18"/>
        <v>98635.06849315068</v>
      </c>
      <c r="H37" s="115">
        <f t="shared" si="18"/>
        <v>128215.8904109589</v>
      </c>
      <c r="I37" s="115">
        <f t="shared" si="18"/>
        <v>301821.36986301374</v>
      </c>
      <c r="J37" s="115">
        <f t="shared" si="18"/>
        <v>810805.4794520547</v>
      </c>
      <c r="K37" s="115">
        <f t="shared" si="18"/>
        <v>1353928.7671232878</v>
      </c>
      <c r="L37" s="115">
        <f t="shared" si="18"/>
        <v>775890.4109589041</v>
      </c>
      <c r="M37" s="115">
        <f t="shared" si="18"/>
        <v>0</v>
      </c>
      <c r="N37" s="115">
        <f t="shared" si="18"/>
        <v>0</v>
      </c>
      <c r="O37" s="115">
        <f t="shared" si="18"/>
        <v>0</v>
      </c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</row>
    <row r="38" spans="2:132" ht="12.75">
      <c r="B38" s="105" t="s">
        <v>77</v>
      </c>
      <c r="C38" s="168"/>
      <c r="D38" s="115">
        <f>(VLOOKUP(Дебиторы!$A35,'ОДР '!$B$10:$O$27,COLUMN('ОДР '!D:D)-1,FALSE)*(1+Параметры!D$38))*(1-Параметры!$D$13)</f>
        <v>179950</v>
      </c>
      <c r="E38" s="115">
        <f>(VLOOKUP(Дебиторы!$A35,'ОДР '!$B$10:$O$27,COLUMN('ОДР '!E:E)-1,FALSE)*(1+Параметры!E$38))*(1-Параметры!$D$13)</f>
        <v>240130</v>
      </c>
      <c r="F38" s="115">
        <f>(VLOOKUP(Дебиторы!$A35,'ОДР '!$B$10:$O$27,COLUMN('ОДР '!F:F)-1,FALSE)*(1+Параметры!F$38))*(1-Параметры!$D$13)</f>
        <v>359900</v>
      </c>
      <c r="G38" s="115">
        <f>(VLOOKUP(Дебиторы!$A35,'ОДР '!$B$10:$O$27,COLUMN('ОДР '!G:G)-1,FALSE)*(1+Параметры!G$38))*(1-Параметры!$D$13)</f>
        <v>420080</v>
      </c>
      <c r="H38" s="115">
        <f>(VLOOKUP(Дебиторы!$A35,'ОДР '!$B$10:$O$27,COLUMN('ОДР '!H:H)-1,FALSE)*(1+Параметры!H$38))*(1-Параметры!$D$13)</f>
        <v>1416000</v>
      </c>
      <c r="I38" s="115">
        <f>(VLOOKUP(Дебиторы!$A35,'ОДР '!$B$10:$O$27,COLUMN('ОДР '!I:I)-1,FALSE)*(1+Параметры!I$38))*(1-Параметры!$D$13)</f>
        <v>3516400</v>
      </c>
      <c r="J38" s="115">
        <f>(VLOOKUP(Дебиторы!$A35,'ОДР '!$B$10:$O$27,COLUMN('ОДР '!J:J)-1,FALSE)*(1+Параметры!J$38))*(1-Параметры!$D$13)</f>
        <v>4720000</v>
      </c>
      <c r="K38" s="115">
        <f>(VLOOKUP(Дебиторы!$A35,'ОДР '!$B$10:$O$27,COLUMN('ОДР '!K:K)-1,FALSE)*(1+Параметры!K$38))*(1-Параметры!$D$13)</f>
        <v>0</v>
      </c>
      <c r="L38" s="115">
        <f>(VLOOKUP(Дебиторы!$A35,'ОДР '!$B$10:$O$27,COLUMN('ОДР '!L:L)-1,FALSE)*(1+Параметры!L$38))*(1-Параметры!$D$13)</f>
        <v>0</v>
      </c>
      <c r="M38" s="115">
        <f>(VLOOKUP(Дебиторы!$A35,'ОДР '!$B$10:$O$27,COLUMN('ОДР '!M:M)-1,FALSE)*(1+Параметры!M$38))*(1-Параметры!$D$13)</f>
        <v>0</v>
      </c>
      <c r="N38" s="115">
        <f>(VLOOKUP(Дебиторы!$A35,'ОДР '!$B$10:$O$27,COLUMN('ОДР '!N:N)-1,FALSE)*(1+Параметры!N$38))*(1-Параметры!$D$13)</f>
        <v>0</v>
      </c>
      <c r="O38" s="115">
        <f>(VLOOKUP(Дебиторы!$A35,'ОДР '!$B$10:$O$27,COLUMN('ОДР '!O:O)-1,FALSE)*(1+Параметры!O$38))*(1-Параметры!$D$13)</f>
        <v>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</row>
    <row r="39" spans="2:132" ht="12.75">
      <c r="B39" s="105" t="s">
        <v>223</v>
      </c>
      <c r="C39" s="115"/>
      <c r="D39" s="115">
        <f aca="true" t="shared" si="19" ref="D39:O39">-C40-D38+D40</f>
        <v>-150369.1780821918</v>
      </c>
      <c r="E39" s="115">
        <f t="shared" si="19"/>
        <v>-200656.57534246575</v>
      </c>
      <c r="F39" s="115">
        <f t="shared" si="19"/>
        <v>-330319.1780821918</v>
      </c>
      <c r="G39" s="115">
        <f t="shared" si="19"/>
        <v>-390499.1780821918</v>
      </c>
      <c r="H39" s="115">
        <f t="shared" si="19"/>
        <v>-1242394.520547945</v>
      </c>
      <c r="I39" s="115">
        <f t="shared" si="19"/>
        <v>-3007415.890410959</v>
      </c>
      <c r="J39" s="115">
        <f t="shared" si="19"/>
        <v>-4176876.7123287674</v>
      </c>
      <c r="K39" s="115">
        <f t="shared" si="19"/>
        <v>-578038.3561643837</v>
      </c>
      <c r="L39" s="115">
        <f t="shared" si="19"/>
        <v>-775890.4109589041</v>
      </c>
      <c r="M39" s="115">
        <f t="shared" si="19"/>
        <v>0</v>
      </c>
      <c r="N39" s="115">
        <f t="shared" si="19"/>
        <v>0</v>
      </c>
      <c r="O39" s="115">
        <f t="shared" si="19"/>
        <v>0</v>
      </c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</row>
    <row r="40" spans="1:132" ht="12.75">
      <c r="A40" s="131" t="s">
        <v>261</v>
      </c>
      <c r="B40" s="132"/>
      <c r="C40" s="561"/>
      <c r="D40" s="134">
        <f>(C38+D38)/365*D36</f>
        <v>29580.82191780822</v>
      </c>
      <c r="E40" s="134">
        <f aca="true" t="shared" si="20" ref="E40:O40">(D38+E38)/365*E36</f>
        <v>69054.24657534246</v>
      </c>
      <c r="F40" s="134">
        <f t="shared" si="20"/>
        <v>98635.06849315068</v>
      </c>
      <c r="G40" s="134">
        <f t="shared" si="20"/>
        <v>128215.8904109589</v>
      </c>
      <c r="H40" s="134">
        <f t="shared" si="20"/>
        <v>301821.36986301374</v>
      </c>
      <c r="I40" s="134">
        <f t="shared" si="20"/>
        <v>810805.4794520547</v>
      </c>
      <c r="J40" s="134">
        <f t="shared" si="20"/>
        <v>1353928.7671232878</v>
      </c>
      <c r="K40" s="134">
        <f t="shared" si="20"/>
        <v>775890.4109589041</v>
      </c>
      <c r="L40" s="134">
        <f t="shared" si="20"/>
        <v>0</v>
      </c>
      <c r="M40" s="134">
        <f t="shared" si="20"/>
        <v>0</v>
      </c>
      <c r="N40" s="134">
        <f t="shared" si="20"/>
        <v>0</v>
      </c>
      <c r="O40" s="134">
        <f t="shared" si="20"/>
        <v>0</v>
      </c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</row>
    <row r="41" spans="1:132" ht="12.75">
      <c r="A41" s="120"/>
      <c r="C41" s="114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</row>
    <row r="42" spans="1:132" ht="12.75">
      <c r="A42" s="120"/>
      <c r="C42" s="114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</row>
    <row r="43" spans="1:132" ht="12.75">
      <c r="A43" s="167" t="s">
        <v>291</v>
      </c>
      <c r="B43" s="146" t="str">
        <f>VLOOKUP(A43,Справочники!$B:$F,4,FALSE)</f>
        <v>Поступления от продажи систем хранения данных</v>
      </c>
      <c r="C43" s="114"/>
      <c r="D43" s="115"/>
      <c r="E43" s="115" t="s">
        <v>239</v>
      </c>
      <c r="F43" s="115"/>
      <c r="G43" s="115"/>
      <c r="H43" s="115"/>
      <c r="I43" s="115"/>
      <c r="J43" s="115"/>
      <c r="K43" s="114"/>
      <c r="L43" s="115"/>
      <c r="M43" s="115"/>
      <c r="N43" s="115"/>
      <c r="O43" s="115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</row>
    <row r="44" spans="1:132" s="127" customFormat="1" ht="11.25">
      <c r="A44" s="126" t="s">
        <v>240</v>
      </c>
      <c r="C44" s="128"/>
      <c r="D44" s="129">
        <v>30</v>
      </c>
      <c r="E44" s="129">
        <f>D44</f>
        <v>30</v>
      </c>
      <c r="F44" s="129">
        <f aca="true" t="shared" si="21" ref="F44:O44">E44</f>
        <v>30</v>
      </c>
      <c r="G44" s="129">
        <f t="shared" si="21"/>
        <v>30</v>
      </c>
      <c r="H44" s="129">
        <f t="shared" si="21"/>
        <v>30</v>
      </c>
      <c r="I44" s="129">
        <f t="shared" si="21"/>
        <v>30</v>
      </c>
      <c r="J44" s="129">
        <f t="shared" si="21"/>
        <v>30</v>
      </c>
      <c r="K44" s="129">
        <f t="shared" si="21"/>
        <v>30</v>
      </c>
      <c r="L44" s="129">
        <f t="shared" si="21"/>
        <v>30</v>
      </c>
      <c r="M44" s="129">
        <f t="shared" si="21"/>
        <v>30</v>
      </c>
      <c r="N44" s="129">
        <f t="shared" si="21"/>
        <v>30</v>
      </c>
      <c r="O44" s="129">
        <f t="shared" si="21"/>
        <v>30</v>
      </c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</row>
    <row r="45" spans="1:132" ht="12.75">
      <c r="A45" s="120" t="s">
        <v>163</v>
      </c>
      <c r="C45" s="114"/>
      <c r="D45" s="115">
        <f aca="true" t="shared" si="22" ref="D45:O45">C48</f>
        <v>0</v>
      </c>
      <c r="E45" s="115">
        <f t="shared" si="22"/>
        <v>1648.7671232876712</v>
      </c>
      <c r="F45" s="115">
        <f t="shared" si="22"/>
        <v>4121.9178082191775</v>
      </c>
      <c r="G45" s="115">
        <f t="shared" si="22"/>
        <v>6595.068493150685</v>
      </c>
      <c r="H45" s="115">
        <f t="shared" si="22"/>
        <v>8243.835616438355</v>
      </c>
      <c r="I45" s="115">
        <f t="shared" si="22"/>
        <v>120505.47945205479</v>
      </c>
      <c r="J45" s="115">
        <f t="shared" si="22"/>
        <v>397643.83561643836</v>
      </c>
      <c r="K45" s="115">
        <f t="shared" si="22"/>
        <v>523726.02739726024</v>
      </c>
      <c r="L45" s="115">
        <f t="shared" si="22"/>
        <v>242465.75342465754</v>
      </c>
      <c r="M45" s="115">
        <f t="shared" si="22"/>
        <v>0</v>
      </c>
      <c r="N45" s="115">
        <f t="shared" si="22"/>
        <v>0</v>
      </c>
      <c r="O45" s="115">
        <f t="shared" si="22"/>
        <v>0</v>
      </c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</row>
    <row r="46" spans="2:132" ht="12.75">
      <c r="B46" s="105" t="s">
        <v>77</v>
      </c>
      <c r="C46" s="168"/>
      <c r="D46" s="115">
        <f>(VLOOKUP(Дебиторы!$A43,'ОДР '!$B$10:$O$27,COLUMN('ОДР '!D:D)-1,FALSE)*(1+Параметры!D$38))*(1-Параметры!$D$13)</f>
        <v>20060</v>
      </c>
      <c r="E46" s="115">
        <f>(VLOOKUP(Дебиторы!$A43,'ОДР '!$B$10:$O$27,COLUMN('ОДР '!E:E)-1,FALSE)*(1+Параметры!E$38))*(1-Параметры!$D$13)</f>
        <v>30090</v>
      </c>
      <c r="F46" s="115">
        <f>(VLOOKUP(Дебиторы!$A43,'ОДР '!$B$10:$O$27,COLUMN('ОДР '!F:F)-1,FALSE)*(1+Параметры!F$38))*(1-Параметры!$D$13)</f>
        <v>50150</v>
      </c>
      <c r="G46" s="115">
        <f>(VLOOKUP(Дебиторы!$A43,'ОДР '!$B$10:$O$27,COLUMN('ОДР '!G:G)-1,FALSE)*(1+Параметры!G$38))*(1-Параметры!$D$13)</f>
        <v>50150</v>
      </c>
      <c r="H46" s="115">
        <f>(VLOOKUP(Дебиторы!$A43,'ОДР '!$B$10:$O$27,COLUMN('ОДР '!H:H)-1,FALSE)*(1+Параметры!H$38))*(1-Параметры!$D$13)</f>
        <v>1416000</v>
      </c>
      <c r="I46" s="115">
        <f>(VLOOKUP(Дебиторы!$A43,'ОДР '!$B$10:$O$27,COLUMN('ОДР '!I:I)-1,FALSE)*(1+Параметры!I$38))*(1-Параметры!$D$13)</f>
        <v>3422000</v>
      </c>
      <c r="J46" s="115">
        <f>(VLOOKUP(Дебиторы!$A43,'ОДР '!$B$10:$O$27,COLUMN('ОДР '!J:J)-1,FALSE)*(1+Параметры!J$38))*(1-Параметры!$D$13)</f>
        <v>2950000</v>
      </c>
      <c r="K46" s="115">
        <f>(VLOOKUP(Дебиторы!$A43,'ОДР '!$B$10:$O$27,COLUMN('ОДР '!K:K)-1,FALSE)*(1+Параметры!K$38))*(1-Параметры!$D$13)</f>
        <v>0</v>
      </c>
      <c r="L46" s="115">
        <f>(VLOOKUP(Дебиторы!$A43,'ОДР '!$B$10:$O$27,COLUMN('ОДР '!L:L)-1,FALSE)*(1+Параметры!L$38))*(1-Параметры!$D$13)</f>
        <v>0</v>
      </c>
      <c r="M46" s="115">
        <f>(VLOOKUP(Дебиторы!$A43,'ОДР '!$B$10:$O$27,COLUMN('ОДР '!M:M)-1,FALSE)*(1+Параметры!M$38))*(1-Параметры!$D$13)</f>
        <v>0</v>
      </c>
      <c r="N46" s="115">
        <f>(VLOOKUP(Дебиторы!$A43,'ОДР '!$B$10:$O$27,COLUMN('ОДР '!N:N)-1,FALSE)*(1+Параметры!N$38))*(1-Параметры!$D$13)</f>
        <v>0</v>
      </c>
      <c r="O46" s="115">
        <f>(VLOOKUP(Дебиторы!$A43,'ОДР '!$B$10:$O$27,COLUMN('ОДР '!O:O)-1,FALSE)*(1+Параметры!O$38))*(1-Параметры!$D$13)</f>
        <v>0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</row>
    <row r="47" spans="2:132" ht="12.75">
      <c r="B47" s="105" t="s">
        <v>223</v>
      </c>
      <c r="C47" s="114"/>
      <c r="D47" s="115">
        <f>-C48-D46+D48</f>
        <v>-18411.23287671233</v>
      </c>
      <c r="E47" s="115">
        <f aca="true" t="shared" si="23" ref="E47:O47">-D48-E46+E48</f>
        <v>-27616.849315068495</v>
      </c>
      <c r="F47" s="115">
        <f t="shared" si="23"/>
        <v>-47676.849315068495</v>
      </c>
      <c r="G47" s="115">
        <f t="shared" si="23"/>
        <v>-48501.232876712325</v>
      </c>
      <c r="H47" s="115">
        <f t="shared" si="23"/>
        <v>-1303738.3561643837</v>
      </c>
      <c r="I47" s="115">
        <f t="shared" si="23"/>
        <v>-3144861.6438356168</v>
      </c>
      <c r="J47" s="115">
        <f t="shared" si="23"/>
        <v>-2823917.808219178</v>
      </c>
      <c r="K47" s="115">
        <f t="shared" si="23"/>
        <v>-281260.2739726027</v>
      </c>
      <c r="L47" s="115">
        <f t="shared" si="23"/>
        <v>-242465.75342465754</v>
      </c>
      <c r="M47" s="115">
        <f t="shared" si="23"/>
        <v>0</v>
      </c>
      <c r="N47" s="115">
        <f t="shared" si="23"/>
        <v>0</v>
      </c>
      <c r="O47" s="115">
        <f t="shared" si="23"/>
        <v>0</v>
      </c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</row>
    <row r="48" spans="1:132" ht="12.75">
      <c r="A48" s="131" t="s">
        <v>261</v>
      </c>
      <c r="B48" s="132"/>
      <c r="C48" s="133"/>
      <c r="D48" s="134">
        <f>(C46+D46)/365*D44</f>
        <v>1648.7671232876712</v>
      </c>
      <c r="E48" s="134">
        <f aca="true" t="shared" si="24" ref="E48:O48">(D46+E46)/365*E44</f>
        <v>4121.9178082191775</v>
      </c>
      <c r="F48" s="134">
        <f t="shared" si="24"/>
        <v>6595.068493150685</v>
      </c>
      <c r="G48" s="134">
        <f t="shared" si="24"/>
        <v>8243.835616438355</v>
      </c>
      <c r="H48" s="134">
        <f t="shared" si="24"/>
        <v>120505.47945205479</v>
      </c>
      <c r="I48" s="134">
        <f t="shared" si="24"/>
        <v>397643.83561643836</v>
      </c>
      <c r="J48" s="134">
        <f t="shared" si="24"/>
        <v>523726.02739726024</v>
      </c>
      <c r="K48" s="134">
        <f t="shared" si="24"/>
        <v>242465.75342465754</v>
      </c>
      <c r="L48" s="134">
        <f t="shared" si="24"/>
        <v>0</v>
      </c>
      <c r="M48" s="134">
        <f t="shared" si="24"/>
        <v>0</v>
      </c>
      <c r="N48" s="134">
        <f t="shared" si="24"/>
        <v>0</v>
      </c>
      <c r="O48" s="134">
        <f t="shared" si="24"/>
        <v>0</v>
      </c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</row>
    <row r="49" spans="1:132" ht="12.75">
      <c r="A49" s="120"/>
      <c r="C49" s="114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</row>
    <row r="50" spans="1:132" ht="12.75">
      <c r="A50" s="120"/>
      <c r="C50" s="114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</row>
    <row r="51" spans="1:132" ht="12.75">
      <c r="A51" s="167" t="s">
        <v>292</v>
      </c>
      <c r="B51" s="146" t="str">
        <f>VLOOKUP(A51,Справочники!$B:$F,4,FALSE)</f>
        <v>Поступления от продажи програмного обеспечения</v>
      </c>
      <c r="C51" s="114"/>
      <c r="D51" s="115"/>
      <c r="E51" s="115" t="s">
        <v>239</v>
      </c>
      <c r="F51" s="115"/>
      <c r="G51" s="115"/>
      <c r="H51" s="115"/>
      <c r="I51" s="115"/>
      <c r="J51" s="115"/>
      <c r="K51" s="114"/>
      <c r="L51" s="115"/>
      <c r="M51" s="115"/>
      <c r="N51" s="115"/>
      <c r="O51" s="115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</row>
    <row r="52" spans="1:132" s="127" customFormat="1" ht="11.25">
      <c r="A52" s="126" t="s">
        <v>240</v>
      </c>
      <c r="C52" s="128"/>
      <c r="D52" s="129">
        <v>15</v>
      </c>
      <c r="E52" s="129">
        <f>D52</f>
        <v>15</v>
      </c>
      <c r="F52" s="129">
        <f aca="true" t="shared" si="25" ref="F52:O52">E52</f>
        <v>15</v>
      </c>
      <c r="G52" s="129">
        <f t="shared" si="25"/>
        <v>15</v>
      </c>
      <c r="H52" s="129">
        <f t="shared" si="25"/>
        <v>15</v>
      </c>
      <c r="I52" s="129">
        <f t="shared" si="25"/>
        <v>15</v>
      </c>
      <c r="J52" s="129">
        <f t="shared" si="25"/>
        <v>15</v>
      </c>
      <c r="K52" s="129">
        <f t="shared" si="25"/>
        <v>15</v>
      </c>
      <c r="L52" s="129">
        <f t="shared" si="25"/>
        <v>15</v>
      </c>
      <c r="M52" s="129">
        <f t="shared" si="25"/>
        <v>15</v>
      </c>
      <c r="N52" s="129">
        <f t="shared" si="25"/>
        <v>15</v>
      </c>
      <c r="O52" s="129">
        <f t="shared" si="25"/>
        <v>15</v>
      </c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</row>
    <row r="53" spans="1:132" ht="12.75">
      <c r="A53" s="120" t="s">
        <v>163</v>
      </c>
      <c r="C53" s="114"/>
      <c r="D53" s="115">
        <f aca="true" t="shared" si="26" ref="D53:O53">C56</f>
        <v>0</v>
      </c>
      <c r="E53" s="115">
        <f t="shared" si="26"/>
        <v>0</v>
      </c>
      <c r="F53" s="115">
        <f t="shared" si="26"/>
        <v>412.1917808219178</v>
      </c>
      <c r="G53" s="115">
        <f t="shared" si="26"/>
        <v>824.3835616438356</v>
      </c>
      <c r="H53" s="115">
        <f t="shared" si="26"/>
        <v>824.3835616438356</v>
      </c>
      <c r="I53" s="115">
        <f t="shared" si="26"/>
        <v>5261.506849315068</v>
      </c>
      <c r="J53" s="115">
        <f t="shared" si="26"/>
        <v>19397.260273972603</v>
      </c>
      <c r="K53" s="115">
        <f t="shared" si="26"/>
        <v>29095.890410958902</v>
      </c>
      <c r="L53" s="115">
        <f t="shared" si="26"/>
        <v>14547.945205479451</v>
      </c>
      <c r="M53" s="115">
        <f t="shared" si="26"/>
        <v>0</v>
      </c>
      <c r="N53" s="115">
        <f t="shared" si="26"/>
        <v>0</v>
      </c>
      <c r="O53" s="115">
        <f t="shared" si="26"/>
        <v>0</v>
      </c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</row>
    <row r="54" spans="2:132" ht="12.75">
      <c r="B54" s="105" t="s">
        <v>77</v>
      </c>
      <c r="C54" s="168"/>
      <c r="D54" s="115">
        <f>(VLOOKUP(Дебиторы!$A51,'ОДР '!$B$10:$O$27,COLUMN('ОДР '!D:D)-1,FALSE)*(1+Параметры!D$38))*(1-Параметры!$D$13)</f>
        <v>0</v>
      </c>
      <c r="E54" s="115">
        <f>(VLOOKUP(Дебиторы!$A51,'ОДР '!$B$10:$O$27,COLUMN('ОДР '!E:E)-1,FALSE)*(1+Параметры!E$38))*(1-Параметры!$D$13)</f>
        <v>10030</v>
      </c>
      <c r="F54" s="115">
        <f>(VLOOKUP(Дебиторы!$A51,'ОДР '!$B$10:$O$27,COLUMN('ОДР '!F:F)-1,FALSE)*(1+Параметры!F$38))*(1-Параметры!$D$13)</f>
        <v>10030</v>
      </c>
      <c r="G54" s="115">
        <f>(VLOOKUP(Дебиторы!$A51,'ОДР '!$B$10:$O$27,COLUMN('ОДР '!G:G)-1,FALSE)*(1+Параметры!G$38))*(1-Параметры!$D$13)</f>
        <v>10030</v>
      </c>
      <c r="H54" s="115">
        <f>(VLOOKUP(Дебиторы!$A51,'ОДР '!$B$10:$O$27,COLUMN('ОДР '!H:H)-1,FALSE)*(1+Параметры!H$38))*(1-Параметры!$D$13)</f>
        <v>118000</v>
      </c>
      <c r="I54" s="115">
        <f>(VLOOKUP(Дебиторы!$A51,'ОДР '!$B$10:$O$27,COLUMN('ОДР '!I:I)-1,FALSE)*(1+Параметры!I$38))*(1-Параметры!$D$13)</f>
        <v>354000</v>
      </c>
      <c r="J54" s="115">
        <f>(VLOOKUP(Дебиторы!$A51,'ОДР '!$B$10:$O$27,COLUMN('ОДР '!J:J)-1,FALSE)*(1+Параметры!J$38))*(1-Параметры!$D$13)</f>
        <v>354000</v>
      </c>
      <c r="K54" s="115">
        <f>(VLOOKUP(Дебиторы!$A51,'ОДР '!$B$10:$O$27,COLUMN('ОДР '!K:K)-1,FALSE)*(1+Параметры!K$38))*(1-Параметры!$D$13)</f>
        <v>0</v>
      </c>
      <c r="L54" s="115">
        <f>(VLOOKUP(Дебиторы!$A51,'ОДР '!$B$10:$O$27,COLUMN('ОДР '!L:L)-1,FALSE)*(1+Параметры!L$38))*(1-Параметры!$D$13)</f>
        <v>0</v>
      </c>
      <c r="M54" s="115">
        <f>(VLOOKUP(Дебиторы!$A51,'ОДР '!$B$10:$O$27,COLUMN('ОДР '!M:M)-1,FALSE)*(1+Параметры!M$38))*(1-Параметры!$D$13)</f>
        <v>0</v>
      </c>
      <c r="N54" s="115">
        <f>(VLOOKUP(Дебиторы!$A51,'ОДР '!$B$10:$O$27,COLUMN('ОДР '!N:N)-1,FALSE)*(1+Параметры!N$38))*(1-Параметры!$D$13)</f>
        <v>0</v>
      </c>
      <c r="O54" s="115">
        <f>(VLOOKUP(Дебиторы!$A51,'ОДР '!$B$10:$O$27,COLUMN('ОДР '!O:O)-1,FALSE)*(1+Параметры!O$38))*(1-Параметры!$D$13)</f>
        <v>0</v>
      </c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</row>
    <row r="55" spans="2:132" ht="12.75">
      <c r="B55" s="105" t="s">
        <v>223</v>
      </c>
      <c r="C55" s="114"/>
      <c r="D55" s="115">
        <f aca="true" t="shared" si="27" ref="D55:O55">-C56-D54+D56</f>
        <v>0</v>
      </c>
      <c r="E55" s="115">
        <f t="shared" si="27"/>
        <v>-9617.808219178081</v>
      </c>
      <c r="F55" s="115">
        <f t="shared" si="27"/>
        <v>-9617.808219178083</v>
      </c>
      <c r="G55" s="115">
        <f t="shared" si="27"/>
        <v>-10030</v>
      </c>
      <c r="H55" s="115">
        <f t="shared" si="27"/>
        <v>-113562.87671232875</v>
      </c>
      <c r="I55" s="115">
        <f t="shared" si="27"/>
        <v>-339864.2465753425</v>
      </c>
      <c r="J55" s="115">
        <f t="shared" si="27"/>
        <v>-344301.3698630137</v>
      </c>
      <c r="K55" s="115">
        <f t="shared" si="27"/>
        <v>-14547.945205479451</v>
      </c>
      <c r="L55" s="115">
        <f t="shared" si="27"/>
        <v>-14547.945205479451</v>
      </c>
      <c r="M55" s="115">
        <f t="shared" si="27"/>
        <v>0</v>
      </c>
      <c r="N55" s="115">
        <f t="shared" si="27"/>
        <v>0</v>
      </c>
      <c r="O55" s="115">
        <f t="shared" si="27"/>
        <v>0</v>
      </c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</row>
    <row r="56" spans="1:132" ht="12.75">
      <c r="A56" s="131" t="s">
        <v>261</v>
      </c>
      <c r="B56" s="132"/>
      <c r="C56" s="133"/>
      <c r="D56" s="134">
        <f>(C54+D54)/365*D52</f>
        <v>0</v>
      </c>
      <c r="E56" s="134">
        <f aca="true" t="shared" si="28" ref="E56:O56">(D54+E54)/365*E52</f>
        <v>412.1917808219178</v>
      </c>
      <c r="F56" s="134">
        <f t="shared" si="28"/>
        <v>824.3835616438356</v>
      </c>
      <c r="G56" s="134">
        <f t="shared" si="28"/>
        <v>824.3835616438356</v>
      </c>
      <c r="H56" s="134">
        <f t="shared" si="28"/>
        <v>5261.506849315068</v>
      </c>
      <c r="I56" s="134">
        <f t="shared" si="28"/>
        <v>19397.260273972603</v>
      </c>
      <c r="J56" s="134">
        <f t="shared" si="28"/>
        <v>29095.890410958902</v>
      </c>
      <c r="K56" s="134">
        <f t="shared" si="28"/>
        <v>14547.945205479451</v>
      </c>
      <c r="L56" s="134">
        <f t="shared" si="28"/>
        <v>0</v>
      </c>
      <c r="M56" s="134">
        <f t="shared" si="28"/>
        <v>0</v>
      </c>
      <c r="N56" s="134">
        <f t="shared" si="28"/>
        <v>0</v>
      </c>
      <c r="O56" s="134">
        <f t="shared" si="28"/>
        <v>0</v>
      </c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</row>
    <row r="57" spans="1:132" ht="12.75">
      <c r="A57" s="120"/>
      <c r="C57" s="114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</row>
    <row r="58" spans="1:132" ht="12.75">
      <c r="A58" s="120"/>
      <c r="C58" s="114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</row>
    <row r="59" spans="1:132" ht="12.75">
      <c r="A59" s="167" t="s">
        <v>293</v>
      </c>
      <c r="B59" s="146" t="str">
        <f>VLOOKUP(A59,Справочники!$B:$F,4,FALSE)</f>
        <v>Поступления от продажи услуг</v>
      </c>
      <c r="C59" s="114"/>
      <c r="D59" s="115"/>
      <c r="E59" s="115" t="s">
        <v>239</v>
      </c>
      <c r="F59" s="115"/>
      <c r="G59" s="115"/>
      <c r="H59" s="115"/>
      <c r="I59" s="115"/>
      <c r="J59" s="115"/>
      <c r="K59" s="114"/>
      <c r="L59" s="115"/>
      <c r="M59" s="115"/>
      <c r="N59" s="115"/>
      <c r="O59" s="115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</row>
    <row r="60" spans="1:132" s="127" customFormat="1" ht="11.25">
      <c r="A60" s="126" t="s">
        <v>240</v>
      </c>
      <c r="C60" s="128"/>
      <c r="D60" s="129">
        <v>0</v>
      </c>
      <c r="E60" s="129">
        <f>D60</f>
        <v>0</v>
      </c>
      <c r="F60" s="129">
        <f aca="true" t="shared" si="29" ref="F60:O60">E60</f>
        <v>0</v>
      </c>
      <c r="G60" s="129">
        <f t="shared" si="29"/>
        <v>0</v>
      </c>
      <c r="H60" s="129">
        <f t="shared" si="29"/>
        <v>0</v>
      </c>
      <c r="I60" s="129">
        <f t="shared" si="29"/>
        <v>0</v>
      </c>
      <c r="J60" s="129">
        <f t="shared" si="29"/>
        <v>0</v>
      </c>
      <c r="K60" s="129">
        <f t="shared" si="29"/>
        <v>0</v>
      </c>
      <c r="L60" s="129">
        <f t="shared" si="29"/>
        <v>0</v>
      </c>
      <c r="M60" s="129">
        <f t="shared" si="29"/>
        <v>0</v>
      </c>
      <c r="N60" s="129">
        <f t="shared" si="29"/>
        <v>0</v>
      </c>
      <c r="O60" s="129">
        <f t="shared" si="29"/>
        <v>0</v>
      </c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</row>
    <row r="61" spans="1:132" ht="12.75">
      <c r="A61" s="120" t="s">
        <v>163</v>
      </c>
      <c r="C61" s="114"/>
      <c r="D61" s="115">
        <f aca="true" t="shared" si="30" ref="D61:O61">C64</f>
        <v>0</v>
      </c>
      <c r="E61" s="115">
        <f t="shared" si="30"/>
        <v>0</v>
      </c>
      <c r="F61" s="115">
        <f t="shared" si="30"/>
        <v>0</v>
      </c>
      <c r="G61" s="115">
        <f t="shared" si="30"/>
        <v>0</v>
      </c>
      <c r="H61" s="115">
        <f t="shared" si="30"/>
        <v>0</v>
      </c>
      <c r="I61" s="115">
        <f t="shared" si="30"/>
        <v>0</v>
      </c>
      <c r="J61" s="115">
        <f t="shared" si="30"/>
        <v>0</v>
      </c>
      <c r="K61" s="115">
        <f t="shared" si="30"/>
        <v>0</v>
      </c>
      <c r="L61" s="115">
        <f t="shared" si="30"/>
        <v>0</v>
      </c>
      <c r="M61" s="115">
        <f t="shared" si="30"/>
        <v>0</v>
      </c>
      <c r="N61" s="115">
        <f t="shared" si="30"/>
        <v>0</v>
      </c>
      <c r="O61" s="115">
        <f t="shared" si="30"/>
        <v>0</v>
      </c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</row>
    <row r="62" spans="2:132" ht="12.75">
      <c r="B62" s="105" t="s">
        <v>77</v>
      </c>
      <c r="C62" s="168"/>
      <c r="D62" s="115">
        <f>(VLOOKUP(Дебиторы!$A59,'ОДР '!$B$10:$O$27,COLUMN('ОДР '!D:D)-1,FALSE)*(1+Параметры!D$38))*(1-Параметры!$D$13)</f>
        <v>20060</v>
      </c>
      <c r="E62" s="115">
        <f>(VLOOKUP(Дебиторы!$A59,'ОДР '!$B$10:$O$27,COLUMN('ОДР '!E:E)-1,FALSE)*(1+Параметры!E$38))*(1-Параметры!$D$13)</f>
        <v>20060</v>
      </c>
      <c r="F62" s="115">
        <f>(VLOOKUP(Дебиторы!$A59,'ОДР '!$B$10:$O$27,COLUMN('ОДР '!F:F)-1,FALSE)*(1+Параметры!F$38))*(1-Параметры!$D$13)</f>
        <v>30090</v>
      </c>
      <c r="G62" s="115">
        <f>(VLOOKUP(Дебиторы!$A59,'ОДР '!$B$10:$O$27,COLUMN('ОДР '!G:G)-1,FALSE)*(1+Параметры!G$38))*(1-Параметры!$D$13)</f>
        <v>40120</v>
      </c>
      <c r="H62" s="115">
        <f>(VLOOKUP(Дебиторы!$A59,'ОДР '!$B$10:$O$27,COLUMN('ОДР '!H:H)-1,FALSE)*(1+Параметры!H$38))*(1-Параметры!$D$13)</f>
        <v>2714000</v>
      </c>
      <c r="I62" s="115">
        <f>(VLOOKUP(Дебиторы!$A59,'ОДР '!$B$10:$O$27,COLUMN('ОДР '!I:I)-1,FALSE)*(1+Параметры!I$38))*(1-Параметры!$D$13)</f>
        <v>8732000</v>
      </c>
      <c r="J62" s="115">
        <f>(VLOOKUP(Дебиторы!$A59,'ОДР '!$B$10:$O$27,COLUMN('ОДР '!J:J)-1,FALSE)*(1+Параметры!J$38))*(1-Параметры!$D$13)</f>
        <v>16520000</v>
      </c>
      <c r="K62" s="115">
        <f>(VLOOKUP(Дебиторы!$A59,'ОДР '!$B$10:$O$27,COLUMN('ОДР '!K:K)-1,FALSE)*(1+Параметры!K$38))*(1-Параметры!$D$13)</f>
        <v>0</v>
      </c>
      <c r="L62" s="115">
        <f>(VLOOKUP(Дебиторы!$A59,'ОДР '!$B$10:$O$27,COLUMN('ОДР '!L:L)-1,FALSE)*(1+Параметры!L$38))*(1-Параметры!$D$13)</f>
        <v>0</v>
      </c>
      <c r="M62" s="115">
        <f>(VLOOKUP(Дебиторы!$A59,'ОДР '!$B$10:$O$27,COLUMN('ОДР '!M:M)-1,FALSE)*(1+Параметры!M$38))*(1-Параметры!$D$13)</f>
        <v>0</v>
      </c>
      <c r="N62" s="115">
        <f>(VLOOKUP(Дебиторы!$A59,'ОДР '!$B$10:$O$27,COLUMN('ОДР '!N:N)-1,FALSE)*(1+Параметры!N$38))*(1-Параметры!$D$13)</f>
        <v>0</v>
      </c>
      <c r="O62" s="115">
        <f>(VLOOKUP(Дебиторы!$A59,'ОДР '!$B$10:$O$27,COLUMN('ОДР '!O:O)-1,FALSE)*(1+Параметры!O$38))*(1-Параметры!$D$13)</f>
        <v>0</v>
      </c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</row>
    <row r="63" spans="2:132" ht="12.75">
      <c r="B63" s="105" t="s">
        <v>223</v>
      </c>
      <c r="C63" s="114"/>
      <c r="D63" s="115">
        <f aca="true" t="shared" si="31" ref="D63:O63">-C64-D62+D64</f>
        <v>-20060</v>
      </c>
      <c r="E63" s="115">
        <f t="shared" si="31"/>
        <v>-20060</v>
      </c>
      <c r="F63" s="115">
        <f t="shared" si="31"/>
        <v>-30090</v>
      </c>
      <c r="G63" s="115">
        <f t="shared" si="31"/>
        <v>-40120</v>
      </c>
      <c r="H63" s="115">
        <f t="shared" si="31"/>
        <v>-2714000</v>
      </c>
      <c r="I63" s="115">
        <f t="shared" si="31"/>
        <v>-8732000</v>
      </c>
      <c r="J63" s="115">
        <f t="shared" si="31"/>
        <v>-16520000</v>
      </c>
      <c r="K63" s="115">
        <f t="shared" si="31"/>
        <v>0</v>
      </c>
      <c r="L63" s="115">
        <f t="shared" si="31"/>
        <v>0</v>
      </c>
      <c r="M63" s="115">
        <f t="shared" si="31"/>
        <v>0</v>
      </c>
      <c r="N63" s="115">
        <f t="shared" si="31"/>
        <v>0</v>
      </c>
      <c r="O63" s="115">
        <f t="shared" si="31"/>
        <v>0</v>
      </c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</row>
    <row r="64" spans="1:132" ht="12.75">
      <c r="A64" s="131" t="s">
        <v>261</v>
      </c>
      <c r="B64" s="132"/>
      <c r="C64" s="133"/>
      <c r="D64" s="134">
        <f>(C62+D62)/365*D60</f>
        <v>0</v>
      </c>
      <c r="E64" s="134">
        <f aca="true" t="shared" si="32" ref="E64:O64">(D62+E62)/365*E60</f>
        <v>0</v>
      </c>
      <c r="F64" s="134">
        <f t="shared" si="32"/>
        <v>0</v>
      </c>
      <c r="G64" s="134">
        <f t="shared" si="32"/>
        <v>0</v>
      </c>
      <c r="H64" s="134">
        <f t="shared" si="32"/>
        <v>0</v>
      </c>
      <c r="I64" s="134">
        <f t="shared" si="32"/>
        <v>0</v>
      </c>
      <c r="J64" s="134">
        <f t="shared" si="32"/>
        <v>0</v>
      </c>
      <c r="K64" s="134">
        <f t="shared" si="32"/>
        <v>0</v>
      </c>
      <c r="L64" s="134">
        <f t="shared" si="32"/>
        <v>0</v>
      </c>
      <c r="M64" s="134">
        <f t="shared" si="32"/>
        <v>0</v>
      </c>
      <c r="N64" s="134">
        <f t="shared" si="32"/>
        <v>0</v>
      </c>
      <c r="O64" s="134">
        <f t="shared" si="32"/>
        <v>0</v>
      </c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</row>
    <row r="65" spans="1:132" ht="12.75">
      <c r="A65" s="120"/>
      <c r="C65" s="114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</row>
    <row r="66" spans="1:132" ht="12.75">
      <c r="A66" s="120"/>
      <c r="C66" s="114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</row>
    <row r="67" spans="1:132" ht="12.75">
      <c r="A67" s="167" t="s">
        <v>134</v>
      </c>
      <c r="B67" s="146" t="str">
        <f>VLOOKUP(A67,Справочники!$B:$F,4,FALSE)</f>
        <v>Поступления от продажи адаптера</v>
      </c>
      <c r="C67" s="114"/>
      <c r="D67" s="115"/>
      <c r="E67" s="115" t="s">
        <v>239</v>
      </c>
      <c r="F67" s="115"/>
      <c r="G67" s="115"/>
      <c r="H67" s="115"/>
      <c r="I67" s="115"/>
      <c r="J67" s="115"/>
      <c r="K67" s="114"/>
      <c r="L67" s="115"/>
      <c r="M67" s="115"/>
      <c r="N67" s="115"/>
      <c r="O67" s="115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</row>
    <row r="68" spans="1:132" s="127" customFormat="1" ht="11.25">
      <c r="A68" s="126" t="s">
        <v>240</v>
      </c>
      <c r="C68" s="128"/>
      <c r="D68" s="129">
        <v>0</v>
      </c>
      <c r="E68" s="129">
        <f>D68</f>
        <v>0</v>
      </c>
      <c r="F68" s="129">
        <f aca="true" t="shared" si="33" ref="F68:O68">E68</f>
        <v>0</v>
      </c>
      <c r="G68" s="129">
        <f t="shared" si="33"/>
        <v>0</v>
      </c>
      <c r="H68" s="129">
        <f t="shared" si="33"/>
        <v>0</v>
      </c>
      <c r="I68" s="129">
        <f t="shared" si="33"/>
        <v>0</v>
      </c>
      <c r="J68" s="129">
        <f t="shared" si="33"/>
        <v>0</v>
      </c>
      <c r="K68" s="129">
        <f t="shared" si="33"/>
        <v>0</v>
      </c>
      <c r="L68" s="129">
        <f t="shared" si="33"/>
        <v>0</v>
      </c>
      <c r="M68" s="129">
        <f t="shared" si="33"/>
        <v>0</v>
      </c>
      <c r="N68" s="129">
        <f t="shared" si="33"/>
        <v>0</v>
      </c>
      <c r="O68" s="129">
        <f t="shared" si="33"/>
        <v>0</v>
      </c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</row>
    <row r="69" spans="1:132" ht="12.75">
      <c r="A69" s="120" t="s">
        <v>163</v>
      </c>
      <c r="C69" s="114"/>
      <c r="D69" s="115">
        <f aca="true" t="shared" si="34" ref="D69:O69">C72</f>
        <v>0</v>
      </c>
      <c r="E69" s="115">
        <f t="shared" si="34"/>
        <v>0</v>
      </c>
      <c r="F69" s="115">
        <f t="shared" si="34"/>
        <v>0</v>
      </c>
      <c r="G69" s="115">
        <f t="shared" si="34"/>
        <v>0</v>
      </c>
      <c r="H69" s="115">
        <f t="shared" si="34"/>
        <v>0</v>
      </c>
      <c r="I69" s="115">
        <f t="shared" si="34"/>
        <v>0</v>
      </c>
      <c r="J69" s="115">
        <f t="shared" si="34"/>
        <v>0</v>
      </c>
      <c r="K69" s="115">
        <f t="shared" si="34"/>
        <v>0</v>
      </c>
      <c r="L69" s="115">
        <f t="shared" si="34"/>
        <v>0</v>
      </c>
      <c r="M69" s="115">
        <f t="shared" si="34"/>
        <v>0</v>
      </c>
      <c r="N69" s="115">
        <f t="shared" si="34"/>
        <v>0</v>
      </c>
      <c r="O69" s="115">
        <f t="shared" si="34"/>
        <v>0</v>
      </c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</row>
    <row r="70" spans="2:132" ht="12.75">
      <c r="B70" s="105" t="s">
        <v>77</v>
      </c>
      <c r="C70" s="168"/>
      <c r="D70" s="115">
        <f>(VLOOKUP(Дебиторы!$A67,'ОДР '!$B$10:$O$27,COLUMN('ОДР '!D:D)-1,FALSE)*(1+Параметры!D$38))*(1-Параметры!$D$13)</f>
        <v>0</v>
      </c>
      <c r="E70" s="115">
        <f>(VLOOKUP(Дебиторы!$A67,'ОДР '!$B$10:$O$27,COLUMN('ОДР '!E:E)-1,FALSE)*(1+Параметры!E$38))*(1-Параметры!$D$13)</f>
        <v>0</v>
      </c>
      <c r="F70" s="115">
        <f>(VLOOKUP(Дебиторы!$A67,'ОДР '!$B$10:$O$27,COLUMN('ОДР '!F:F)-1,FALSE)*(1+Параметры!F$38))*(1-Параметры!$D$13)</f>
        <v>0</v>
      </c>
      <c r="G70" s="115">
        <f>(VLOOKUP(Дебиторы!$A67,'ОДР '!$B$10:$O$27,COLUMN('ОДР '!G:G)-1,FALSE)*(1+Параметры!G$38))*(1-Параметры!$D$13)</f>
        <v>0</v>
      </c>
      <c r="H70" s="115">
        <f>(VLOOKUP(Дебиторы!$A67,'ОДР '!$B$10:$O$27,COLUMN('ОДР '!H:H)-1,FALSE)*(1+Параметры!H$38))*(1-Параметры!$D$13)</f>
        <v>570000</v>
      </c>
      <c r="I70" s="115">
        <f>(VLOOKUP(Дебиторы!$A67,'ОДР '!$B$10:$O$27,COLUMN('ОДР '!I:I)-1,FALSE)*(1+Параметры!I$38))*(1-Параметры!$D$13)</f>
        <v>798000</v>
      </c>
      <c r="J70" s="115">
        <f>(VLOOKUP(Дебиторы!$A67,'ОДР '!$B$10:$O$27,COLUMN('ОДР '!J:J)-1,FALSE)*(1+Параметры!J$38))*(1-Параметры!$D$13)</f>
        <v>1140000</v>
      </c>
      <c r="K70" s="115">
        <f>(VLOOKUP(Дебиторы!$A67,'ОДР '!$B$10:$O$27,COLUMN('ОДР '!K:K)-1,FALSE)*(1+Параметры!K$38))*(1-Параметры!$D$13)</f>
        <v>949999.9999999999</v>
      </c>
      <c r="L70" s="115">
        <f>(VLOOKUP(Дебиторы!$A67,'ОДР '!$B$10:$O$27,COLUMN('ОДР '!L:L)-1,FALSE)*(1+Параметры!L$38))*(1-Параметры!$D$13)</f>
        <v>608000</v>
      </c>
      <c r="M70" s="115">
        <f>(VLOOKUP(Дебиторы!$A67,'ОДР '!$B$10:$O$27,COLUMN('ОДР '!M:M)-1,FALSE)*(1+Параметры!M$38))*(1-Параметры!$D$13)</f>
        <v>0</v>
      </c>
      <c r="N70" s="115">
        <f>(VLOOKUP(Дебиторы!$A67,'ОДР '!$B$10:$O$27,COLUMN('ОДР '!N:N)-1,FALSE)*(1+Параметры!N$38))*(1-Параметры!$D$13)</f>
        <v>0</v>
      </c>
      <c r="O70" s="115">
        <f>(VLOOKUP(Дебиторы!$A67,'ОДР '!$B$10:$O$27,COLUMN('ОДР '!O:O)-1,FALSE)*(1+Параметры!O$38))*(1-Параметры!$D$13)</f>
        <v>0</v>
      </c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</row>
    <row r="71" spans="2:132" ht="12.75">
      <c r="B71" s="105" t="s">
        <v>223</v>
      </c>
      <c r="C71" s="114"/>
      <c r="D71" s="115">
        <f aca="true" t="shared" si="35" ref="D71:O71">-C72-D70+D72</f>
        <v>0</v>
      </c>
      <c r="E71" s="115">
        <f t="shared" si="35"/>
        <v>0</v>
      </c>
      <c r="F71" s="115">
        <f t="shared" si="35"/>
        <v>0</v>
      </c>
      <c r="G71" s="115">
        <f t="shared" si="35"/>
        <v>0</v>
      </c>
      <c r="H71" s="139">
        <f t="shared" si="35"/>
        <v>-570000</v>
      </c>
      <c r="I71" s="139">
        <f t="shared" si="35"/>
        <v>-798000</v>
      </c>
      <c r="J71" s="115">
        <f t="shared" si="35"/>
        <v>-1140000</v>
      </c>
      <c r="K71" s="115">
        <f t="shared" si="35"/>
        <v>-949999.9999999999</v>
      </c>
      <c r="L71" s="115">
        <f t="shared" si="35"/>
        <v>-608000</v>
      </c>
      <c r="M71" s="115">
        <f t="shared" si="35"/>
        <v>0</v>
      </c>
      <c r="N71" s="115">
        <f t="shared" si="35"/>
        <v>0</v>
      </c>
      <c r="O71" s="115">
        <f t="shared" si="35"/>
        <v>0</v>
      </c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</row>
    <row r="72" spans="1:132" ht="12.75">
      <c r="A72" s="131" t="s">
        <v>261</v>
      </c>
      <c r="B72" s="132"/>
      <c r="C72" s="133"/>
      <c r="D72" s="134">
        <f aca="true" t="shared" si="36" ref="D72:O72">(C70+D70)/365*D68</f>
        <v>0</v>
      </c>
      <c r="E72" s="134">
        <f t="shared" si="36"/>
        <v>0</v>
      </c>
      <c r="F72" s="134">
        <f t="shared" si="36"/>
        <v>0</v>
      </c>
      <c r="G72" s="134">
        <f t="shared" si="36"/>
        <v>0</v>
      </c>
      <c r="H72" s="134">
        <f t="shared" si="36"/>
        <v>0</v>
      </c>
      <c r="I72" s="134">
        <f t="shared" si="36"/>
        <v>0</v>
      </c>
      <c r="J72" s="134">
        <f t="shared" si="36"/>
        <v>0</v>
      </c>
      <c r="K72" s="134">
        <f t="shared" si="36"/>
        <v>0</v>
      </c>
      <c r="L72" s="134">
        <f t="shared" si="36"/>
        <v>0</v>
      </c>
      <c r="M72" s="134">
        <f t="shared" si="36"/>
        <v>0</v>
      </c>
      <c r="N72" s="134">
        <f t="shared" si="36"/>
        <v>0</v>
      </c>
      <c r="O72" s="134">
        <f t="shared" si="36"/>
        <v>0</v>
      </c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</row>
    <row r="73" spans="1:132" ht="12.75">
      <c r="A73" s="120"/>
      <c r="C73" s="114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</row>
    <row r="74" spans="1:132" ht="12.75">
      <c r="A74" s="120"/>
      <c r="C74" s="114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</row>
    <row r="75" spans="1:132" ht="12.75">
      <c r="A75" s="167" t="s">
        <v>506</v>
      </c>
      <c r="B75" s="146" t="str">
        <f>VLOOKUP(A75,Справочники!$B:$F,4,FALSE)</f>
        <v>Поступления от продажи продукта N (Гос. инвестиции)</v>
      </c>
      <c r="C75" s="114"/>
      <c r="D75" s="115"/>
      <c r="E75" s="115" t="s">
        <v>239</v>
      </c>
      <c r="F75" s="115"/>
      <c r="G75" s="115"/>
      <c r="H75" s="115"/>
      <c r="I75" s="115"/>
      <c r="J75" s="115"/>
      <c r="K75" s="114"/>
      <c r="L75" s="115"/>
      <c r="M75" s="115"/>
      <c r="N75" s="115"/>
      <c r="O75" s="115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</row>
    <row r="76" spans="1:132" s="127" customFormat="1" ht="11.25">
      <c r="A76" s="126" t="s">
        <v>240</v>
      </c>
      <c r="C76" s="128"/>
      <c r="D76" s="129">
        <v>0</v>
      </c>
      <c r="E76" s="129">
        <f>D76</f>
        <v>0</v>
      </c>
      <c r="F76" s="129">
        <f aca="true" t="shared" si="37" ref="F76:O76">E76</f>
        <v>0</v>
      </c>
      <c r="G76" s="129">
        <f t="shared" si="37"/>
        <v>0</v>
      </c>
      <c r="H76" s="129">
        <f t="shared" si="37"/>
        <v>0</v>
      </c>
      <c r="I76" s="129">
        <f t="shared" si="37"/>
        <v>0</v>
      </c>
      <c r="J76" s="129">
        <f t="shared" si="37"/>
        <v>0</v>
      </c>
      <c r="K76" s="129">
        <f t="shared" si="37"/>
        <v>0</v>
      </c>
      <c r="L76" s="129">
        <f t="shared" si="37"/>
        <v>0</v>
      </c>
      <c r="M76" s="129">
        <f t="shared" si="37"/>
        <v>0</v>
      </c>
      <c r="N76" s="129">
        <f t="shared" si="37"/>
        <v>0</v>
      </c>
      <c r="O76" s="129">
        <f t="shared" si="37"/>
        <v>0</v>
      </c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</row>
    <row r="77" spans="1:132" ht="12.75">
      <c r="A77" s="120" t="s">
        <v>163</v>
      </c>
      <c r="C77" s="114"/>
      <c r="D77" s="115">
        <f aca="true" t="shared" si="38" ref="D77:O77">C80</f>
        <v>0</v>
      </c>
      <c r="E77" s="115">
        <f t="shared" si="38"/>
        <v>0</v>
      </c>
      <c r="F77" s="115">
        <f t="shared" si="38"/>
        <v>0</v>
      </c>
      <c r="G77" s="115">
        <f t="shared" si="38"/>
        <v>0</v>
      </c>
      <c r="H77" s="115">
        <f t="shared" si="38"/>
        <v>0</v>
      </c>
      <c r="I77" s="115">
        <f t="shared" si="38"/>
        <v>0</v>
      </c>
      <c r="J77" s="115">
        <f t="shared" si="38"/>
        <v>0</v>
      </c>
      <c r="K77" s="115">
        <f t="shared" si="38"/>
        <v>0</v>
      </c>
      <c r="L77" s="115">
        <f t="shared" si="38"/>
        <v>0</v>
      </c>
      <c r="M77" s="115">
        <f t="shared" si="38"/>
        <v>0</v>
      </c>
      <c r="N77" s="115">
        <f t="shared" si="38"/>
        <v>0</v>
      </c>
      <c r="O77" s="115">
        <f t="shared" si="38"/>
        <v>0</v>
      </c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</row>
    <row r="78" spans="2:132" ht="12.75">
      <c r="B78" s="105" t="s">
        <v>77</v>
      </c>
      <c r="C78" s="168"/>
      <c r="D78" s="115">
        <f>(VLOOKUP(Дебиторы!$A75,'ОДР '!$B$10:$O$27,COLUMN('ОДР '!D:D)-1,FALSE)*(1-Параметры!$D$13))</f>
        <v>32600</v>
      </c>
      <c r="E78" s="115">
        <f>(VLOOKUP(Дебиторы!$A75,'ОДР '!$B$10:$O$27,COLUMN('ОДР '!E:E)-1,FALSE)*(1-Параметры!$D$13))</f>
        <v>76066.66666666667</v>
      </c>
      <c r="F78" s="115">
        <f>(VLOOKUP(Дебиторы!$A75,'ОДР '!$B$10:$O$27,COLUMN('ОДР '!F:F)-1,FALSE)*(1-Параметры!$D$13))</f>
        <v>8400</v>
      </c>
      <c r="G78" s="115">
        <f>(VLOOKUP(Дебиторы!$A75,'ОДР '!$B$10:$O$27,COLUMN('ОДР '!G:G)-1,FALSE)*(1-Параметры!$D$13))</f>
        <v>19600</v>
      </c>
      <c r="H78" s="115">
        <f>(VLOOKUP(Дебиторы!$A75,'ОДР '!$B$10:$O$27,COLUMN('ОДР '!H:H)-1,FALSE)*(1-Параметры!$D$13))</f>
        <v>0</v>
      </c>
      <c r="I78" s="115">
        <f>(VLOOKUP(Дебиторы!$A75,'ОДР '!$B$10:$O$27,COLUMN('ОДР '!I:I)-1,FALSE)*(1-Параметры!$D$13))</f>
        <v>0</v>
      </c>
      <c r="J78" s="115">
        <f>(VLOOKUP(Дебиторы!$A75,'ОДР '!$B$10:$O$27,COLUMN('ОДР '!J:J)-1,FALSE)*(1-Параметры!$D$13))</f>
        <v>0</v>
      </c>
      <c r="K78" s="115">
        <f>(VLOOKUP(Дебиторы!$A75,'ОДР '!$B$10:$O$27,COLUMN('ОДР '!K:K)-1,FALSE)*(1-Параметры!$D$13))</f>
        <v>0</v>
      </c>
      <c r="L78" s="115">
        <f>(VLOOKUP(Дебиторы!$A75,'ОДР '!$B$10:$O$27,COLUMN('ОДР '!L:L)-1,FALSE)*(1-Параметры!$D$13))</f>
        <v>0</v>
      </c>
      <c r="M78" s="115">
        <f>(VLOOKUP(Дебиторы!$A75,'ОДР '!$B$10:$O$27,COLUMN('ОДР '!M:M)-1,FALSE)*(1-Параметры!$D$13))</f>
        <v>0</v>
      </c>
      <c r="N78" s="115">
        <f>(VLOOKUP(Дебиторы!$A75,'ОДР '!$B$10:$O$27,COLUMN('ОДР '!N:N)-1,FALSE)*(1-Параметры!$D$13))</f>
        <v>0</v>
      </c>
      <c r="O78" s="115">
        <f>(VLOOKUP(Дебиторы!$A75,'ОДР '!$B$10:$O$27,COLUMN('ОДР '!O:O)-1,FALSE)*(1-Параметры!$D$13))</f>
        <v>0</v>
      </c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</row>
    <row r="79" spans="2:132" ht="12.75">
      <c r="B79" s="105" t="s">
        <v>223</v>
      </c>
      <c r="C79" s="114"/>
      <c r="D79" s="115">
        <f aca="true" t="shared" si="39" ref="D79:O79">-C80-D78+D80</f>
        <v>-32600</v>
      </c>
      <c r="E79" s="115">
        <f t="shared" si="39"/>
        <v>-76066.66666666667</v>
      </c>
      <c r="F79" s="115">
        <f t="shared" si="39"/>
        <v>-8400</v>
      </c>
      <c r="G79" s="115">
        <f t="shared" si="39"/>
        <v>-19600</v>
      </c>
      <c r="H79" s="139">
        <f t="shared" si="39"/>
        <v>0</v>
      </c>
      <c r="I79" s="139">
        <f t="shared" si="39"/>
        <v>0</v>
      </c>
      <c r="J79" s="115">
        <f t="shared" si="39"/>
        <v>0</v>
      </c>
      <c r="K79" s="115">
        <f t="shared" si="39"/>
        <v>0</v>
      </c>
      <c r="L79" s="115">
        <f t="shared" si="39"/>
        <v>0</v>
      </c>
      <c r="M79" s="115">
        <f t="shared" si="39"/>
        <v>0</v>
      </c>
      <c r="N79" s="115">
        <f t="shared" si="39"/>
        <v>0</v>
      </c>
      <c r="O79" s="115">
        <f t="shared" si="39"/>
        <v>0</v>
      </c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</row>
    <row r="80" spans="1:132" ht="12.75">
      <c r="A80" s="131" t="s">
        <v>261</v>
      </c>
      <c r="B80" s="132"/>
      <c r="C80" s="133"/>
      <c r="D80" s="134">
        <f aca="true" t="shared" si="40" ref="D80:O80">(C78+D78)/365*D76</f>
        <v>0</v>
      </c>
      <c r="E80" s="134">
        <f t="shared" si="40"/>
        <v>0</v>
      </c>
      <c r="F80" s="134">
        <f t="shared" si="40"/>
        <v>0</v>
      </c>
      <c r="G80" s="134">
        <f t="shared" si="40"/>
        <v>0</v>
      </c>
      <c r="H80" s="134">
        <f t="shared" si="40"/>
        <v>0</v>
      </c>
      <c r="I80" s="134">
        <f t="shared" si="40"/>
        <v>0</v>
      </c>
      <c r="J80" s="134">
        <f t="shared" si="40"/>
        <v>0</v>
      </c>
      <c r="K80" s="134">
        <f t="shared" si="40"/>
        <v>0</v>
      </c>
      <c r="L80" s="134">
        <f t="shared" si="40"/>
        <v>0</v>
      </c>
      <c r="M80" s="134">
        <f t="shared" si="40"/>
        <v>0</v>
      </c>
      <c r="N80" s="134">
        <f t="shared" si="40"/>
        <v>0</v>
      </c>
      <c r="O80" s="134">
        <f t="shared" si="40"/>
        <v>0</v>
      </c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</row>
    <row r="81" spans="1:132" ht="12.75">
      <c r="A81" s="120"/>
      <c r="C81" s="138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</row>
    <row r="82" spans="1:132" ht="12.75">
      <c r="A82" s="120"/>
      <c r="C82" s="114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</row>
    <row r="83" spans="1:3" ht="12.75">
      <c r="A83" s="170" t="s">
        <v>507</v>
      </c>
      <c r="B83" s="146" t="str">
        <f>VLOOKUP(A83,Справочники!$B:$F,4,FALSE)</f>
        <v>Авансовые поступления</v>
      </c>
      <c r="C83" s="234"/>
    </row>
    <row r="84" spans="1:15" ht="12.75">
      <c r="A84" s="137" t="s">
        <v>475</v>
      </c>
      <c r="B84" s="136"/>
      <c r="C84" s="234"/>
      <c r="D84" s="115">
        <f aca="true" t="shared" si="41" ref="D84:O84">C87</f>
        <v>281174.43868739204</v>
      </c>
      <c r="E84" s="115">
        <f t="shared" si="41"/>
        <v>281174.43868739204</v>
      </c>
      <c r="F84" s="115">
        <f t="shared" si="41"/>
        <v>281174.43868739204</v>
      </c>
      <c r="G84" s="115">
        <f t="shared" si="41"/>
        <v>281174.43868739204</v>
      </c>
      <c r="H84" s="115">
        <f t="shared" si="41"/>
        <v>281174.43868739204</v>
      </c>
      <c r="I84" s="115">
        <f t="shared" si="41"/>
        <v>281174.43868739204</v>
      </c>
      <c r="J84" s="115">
        <f t="shared" si="41"/>
        <v>281174.43868739204</v>
      </c>
      <c r="K84" s="115">
        <f t="shared" si="41"/>
        <v>281174.43868739204</v>
      </c>
      <c r="L84" s="115">
        <f t="shared" si="41"/>
        <v>281174.43868739204</v>
      </c>
      <c r="M84" s="115">
        <f t="shared" si="41"/>
        <v>281174.43868739204</v>
      </c>
      <c r="N84" s="115">
        <f t="shared" si="41"/>
        <v>281174.43868739204</v>
      </c>
      <c r="O84" s="115">
        <f t="shared" si="41"/>
        <v>281174.43868739204</v>
      </c>
    </row>
    <row r="85" spans="1:15" ht="12.75">
      <c r="A85" s="136"/>
      <c r="B85" s="136" t="s">
        <v>474</v>
      </c>
      <c r="C85" s="139">
        <f>(VLOOKUP(Дебиторы!$A27,'ОДР '!$B$10:$O$27,COLUMN('ОДР '!D:D)-1,FALSE)+VLOOKUP($A35,'ОДР '!$B$9:$O$18,COLUMN('ОДР '!D:D)-1,FALSE)+VLOOKUP($A43,'ОДР '!$B$9:$O$18,COLUMN('ОДР '!D:D)-1,FALSE)+VLOOKUP($A51,'ОДР '!$B$9:$O$18,COLUMN('ОДР '!D:D)-1,FALSE)+VLOOKUP($A59,'ОДР '!$B$9:$O$18,COLUMN('ОДР '!D:D)-1,FALSE)+VLOOKUP($A67,'ОДР '!$B$9:$O$18,COLUMN('ОДР '!D:D)-1,FALSE)+VLOOKUP($A75,'ОДР '!$B$9:$O$18,COLUMN('ОДР '!D:D)-1,FALSE))*(1+Параметры!C$38)*Параметры!$D$13</f>
        <v>0</v>
      </c>
      <c r="D85" s="139">
        <f>(VLOOKUP(Дебиторы!$A27,'ОДР '!$B$10:$O$27,COLUMN('ОДР '!E:E)-1,FALSE)+VLOOKUP($A35,'ОДР '!$B$9:$O$18,COLUMN('ОДР '!E:E)-1,FALSE)+VLOOKUP($A43,'ОДР '!$B$9:$O$18,COLUMN('ОДР '!E:E)-1,FALSE)+VLOOKUP($A51,'ОДР '!$B$9:$O$18,COLUMN('ОДР '!E:E)-1,FALSE)+VLOOKUP($A59,'ОДР '!$B$9:$O$18,COLUMN('ОДР '!E:E)-1,FALSE)+VLOOKUP($A67,'ОДР '!$B$9:$O$18,COLUMN('ОДР '!E:E)-1,FALSE)+VLOOKUP($A75,'ОДР '!$B$9:$O$18,COLUMN('ОДР '!E:E)-1,FALSE))*(1+Параметры!D$38)*Параметры!$D$13</f>
        <v>0</v>
      </c>
      <c r="E85" s="139">
        <f>(VLOOKUP(Дебиторы!$A27,'ОДР '!$B$10:$O$27,COLUMN('ОДР '!F:F)-1,FALSE)+VLOOKUP($A35,'ОДР '!$B$9:$O$18,COLUMN('ОДР '!F:F)-1,FALSE)+VLOOKUP($A43,'ОДР '!$B$9:$O$18,COLUMN('ОДР '!F:F)-1,FALSE)+VLOOKUP($A51,'ОДР '!$B$9:$O$18,COLUMN('ОДР '!F:F)-1,FALSE)+VLOOKUP($A59,'ОДР '!$B$9:$O$18,COLUMN('ОДР '!F:F)-1,FALSE)+VLOOKUP($A67,'ОДР '!$B$9:$O$18,COLUMN('ОДР '!F:F)-1,FALSE)+VLOOKUP($A75,'ОДР '!$B$9:$O$18,COLUMN('ОДР '!F:F)-1,FALSE))*(1+Параметры!E$38)*Параметры!$D$13</f>
        <v>0</v>
      </c>
      <c r="F85" s="139">
        <f>(VLOOKUP(Дебиторы!$A27,'ОДР '!$B$10:$O$27,COLUMN('ОДР '!G:G)-1,FALSE)+VLOOKUP($A35,'ОДР '!$B$9:$O$18,COLUMN('ОДР '!G:G)-1,FALSE)+VLOOKUP($A43,'ОДР '!$B$9:$O$18,COLUMN('ОДР '!G:G)-1,FALSE)+VLOOKUP($A51,'ОДР '!$B$9:$O$18,COLUMN('ОДР '!G:G)-1,FALSE)+VLOOKUP($A59,'ОДР '!$B$9:$O$18,COLUMN('ОДР '!G:G)-1,FALSE)+VLOOKUP($A67,'ОДР '!$B$9:$O$18,COLUMN('ОДР '!G:G)-1,FALSE)+VLOOKUP($A75,'ОДР '!$B$9:$O$18,COLUMN('ОДР '!G:G)-1,FALSE))*(1+Параметры!F$38)*Параметры!$D$13</f>
        <v>0</v>
      </c>
      <c r="G85" s="139">
        <f>(VLOOKUP(Дебиторы!$A27,'ОДР '!$B$10:$O$27,COLUMN('ОДР '!H:H)-1,FALSE)+VLOOKUP($A35,'ОДР '!$B$9:$O$18,COLUMN('ОДР '!H:H)-1,FALSE)+VLOOKUP($A43,'ОДР '!$B$9:$O$18,COLUMN('ОДР '!H:H)-1,FALSE)+VLOOKUP($A51,'ОДР '!$B$9:$O$18,COLUMN('ОДР '!H:H)-1,FALSE)+VLOOKUP($A59,'ОДР '!$B$9:$O$18,COLUMN('ОДР '!H:H)-1,FALSE)+VLOOKUP($A67,'ОДР '!$B$9:$O$18,COLUMN('ОДР '!H:H)-1,FALSE)+VLOOKUP($A75,'ОДР '!$B$9:$O$18,COLUMN('ОДР '!H:H)-1,FALSE))*(1+Параметры!G$38)*Параметры!$D$13</f>
        <v>0</v>
      </c>
      <c r="H85" s="139">
        <f>(VLOOKUP(Дебиторы!$A27,'ОДР '!$B$10:$O$27,COLUMN('ОДР '!I:I)-1,FALSE)+VLOOKUP($A35,'ОДР '!$B$9:$O$18,COLUMN('ОДР '!I:I)-1,FALSE)+VLOOKUP($A43,'ОДР '!$B$9:$O$18,COLUMN('ОДР '!I:I)-1,FALSE)+VLOOKUP($A51,'ОДР '!$B$9:$O$18,COLUMN('ОДР '!I:I)-1,FALSE)+VLOOKUP($A59,'ОДР '!$B$9:$O$18,COLUMN('ОДР '!I:I)-1,FALSE)+VLOOKUP($A67,'ОДР '!$B$9:$O$18,COLUMN('ОДР '!I:I)-1,FALSE)+VLOOKUP($A75,'ОДР '!$B$9:$O$18,COLUMN('ОДР '!I:I)-1,FALSE))*(1+Параметры!H$38)*Параметры!$D$13</f>
        <v>0</v>
      </c>
      <c r="I85" s="139">
        <f>(VLOOKUP(Дебиторы!$A27,'ОДР '!$B$10:$O$27,COLUMN('ОДР '!J:J)-1,FALSE)+VLOOKUP($A35,'ОДР '!$B$9:$O$18,COLUMN('ОДР '!J:J)-1,FALSE)+VLOOKUP($A43,'ОДР '!$B$9:$O$18,COLUMN('ОДР '!J:J)-1,FALSE)+VLOOKUP($A51,'ОДР '!$B$9:$O$18,COLUMN('ОДР '!J:J)-1,FALSE)+VLOOKUP($A59,'ОДР '!$B$9:$O$18,COLUMN('ОДР '!J:J)-1,FALSE)+VLOOKUP($A67,'ОДР '!$B$9:$O$18,COLUMN('ОДР '!J:J)-1,FALSE)+VLOOKUP($A75,'ОДР '!$B$9:$O$18,COLUMN('ОДР '!J:J)-1,FALSE))*(1+Параметры!I$38)*Параметры!$D$13</f>
        <v>0</v>
      </c>
      <c r="J85" s="139">
        <f>(VLOOKUP(Дебиторы!$A27,'ОДР '!$B$10:$O$27,COLUMN('ОДР '!K:K)-1,FALSE)+VLOOKUP($A35,'ОДР '!$B$9:$O$18,COLUMN('ОДР '!K:K)-1,FALSE)+VLOOKUP($A43,'ОДР '!$B$9:$O$18,COLUMN('ОДР '!K:K)-1,FALSE)+VLOOKUP($A51,'ОДР '!$B$9:$O$18,COLUMN('ОДР '!K:K)-1,FALSE)+VLOOKUP($A59,'ОДР '!$B$9:$O$18,COLUMN('ОДР '!K:K)-1,FALSE)+VLOOKUP($A67,'ОДР '!$B$9:$O$18,COLUMN('ОДР '!K:K)-1,FALSE)+VLOOKUP($A75,'ОДР '!$B$9:$O$18,COLUMN('ОДР '!K:K)-1,FALSE))*(1+Параметры!J$38)*Параметры!$D$13</f>
        <v>0</v>
      </c>
      <c r="K85" s="139">
        <f>(VLOOKUP(Дебиторы!$A27,'ОДР '!$B$10:$O$27,COLUMN('ОДР '!L:L)-1,FALSE)+VLOOKUP($A35,'ОДР '!$B$9:$O$18,COLUMN('ОДР '!L:L)-1,FALSE)+VLOOKUP($A43,'ОДР '!$B$9:$O$18,COLUMN('ОДР '!L:L)-1,FALSE)+VLOOKUP($A51,'ОДР '!$B$9:$O$18,COLUMN('ОДР '!L:L)-1,FALSE)+VLOOKUP($A59,'ОДР '!$B$9:$O$18,COLUMN('ОДР '!L:L)-1,FALSE)+VLOOKUP($A67,'ОДР '!$B$9:$O$18,COLUMN('ОДР '!L:L)-1,FALSE)+VLOOKUP($A75,'ОДР '!$B$9:$O$18,COLUMN('ОДР '!L:L)-1,FALSE))*(1+Параметры!K$38)*Параметры!$D$13</f>
        <v>0</v>
      </c>
      <c r="L85" s="139">
        <f>(VLOOKUP(Дебиторы!$A27,'ОДР '!$B$10:$O$27,COLUMN('ОДР '!M:M)-1,FALSE)+VLOOKUP($A35,'ОДР '!$B$9:$O$18,COLUMN('ОДР '!M:M)-1,FALSE)+VLOOKUP($A43,'ОДР '!$B$9:$O$18,COLUMN('ОДР '!M:M)-1,FALSE)+VLOOKUP($A51,'ОДР '!$B$9:$O$18,COLUMN('ОДР '!M:M)-1,FALSE)+VLOOKUP($A59,'ОДР '!$B$9:$O$18,COLUMN('ОДР '!M:M)-1,FALSE)+VLOOKUP($A67,'ОДР '!$B$9:$O$18,COLUMN('ОДР '!M:M)-1,FALSE)+VLOOKUP($A75,'ОДР '!$B$9:$O$18,COLUMN('ОДР '!M:M)-1,FALSE))*(1+Параметры!L$38)*Параметры!$D$13</f>
        <v>0</v>
      </c>
      <c r="M85" s="139">
        <f>(VLOOKUP(Дебиторы!$A27,'ОДР '!$B$10:$O$27,COLUMN('ОДР '!N:N)-1,FALSE)+VLOOKUP($A35,'ОДР '!$B$9:$O$18,COLUMN('ОДР '!N:N)-1,FALSE)+VLOOKUP($A43,'ОДР '!$B$9:$O$18,COLUMN('ОДР '!N:N)-1,FALSE)+VLOOKUP($A51,'ОДР '!$B$9:$O$18,COLUMN('ОДР '!N:N)-1,FALSE)+VLOOKUP($A59,'ОДР '!$B$9:$O$18,COLUMN('ОДР '!N:N)-1,FALSE)+VLOOKUP($A67,'ОДР '!$B$9:$O$18,COLUMN('ОДР '!N:N)-1,FALSE)+VLOOKUP($A75,'ОДР '!$B$9:$O$18,COLUMN('ОДР '!N:N)-1,FALSE))*(1+Параметры!M$38)*Параметры!$D$13</f>
        <v>0</v>
      </c>
      <c r="N85" s="139">
        <f>(VLOOKUP(Дебиторы!$A27,'ОДР '!$B$10:$O$27,COLUMN('ОДР '!O:O)-1,FALSE)+VLOOKUP($A35,'ОДР '!$B$9:$O$18,COLUMN('ОДР '!O:O)-1,FALSE)+VLOOKUP($A43,'ОДР '!$B$9:$O$18,COLUMN('ОДР '!O:O)-1,FALSE)+VLOOKUP($A51,'ОДР '!$B$9:$O$18,COLUMN('ОДР '!O:O)-1,FALSE)+VLOOKUP($A59,'ОДР '!$B$9:$O$18,COLUMN('ОДР '!O:O)-1,FALSE)+VLOOKUP($A67,'ОДР '!$B$9:$O$18,COLUMN('ОДР '!O:O)-1,FALSE)+VLOOKUP($A75,'ОДР '!$B$9:$O$18,COLUMN('ОДР '!O:O)-1,FALSE))*(1+Параметры!N$38)*Параметры!$D$13</f>
        <v>0</v>
      </c>
      <c r="O85" s="228"/>
    </row>
    <row r="86" spans="1:15" ht="12.75">
      <c r="A86" s="136"/>
      <c r="B86" s="136" t="s">
        <v>473</v>
      </c>
      <c r="C86" s="234"/>
      <c r="D86" s="510">
        <f>C85</f>
        <v>0</v>
      </c>
      <c r="E86" s="510">
        <f>D85</f>
        <v>0</v>
      </c>
      <c r="F86" s="510">
        <f aca="true" t="shared" si="42" ref="F86:O86">E85</f>
        <v>0</v>
      </c>
      <c r="G86" s="510">
        <f t="shared" si="42"/>
        <v>0</v>
      </c>
      <c r="H86" s="510">
        <f t="shared" si="42"/>
        <v>0</v>
      </c>
      <c r="I86" s="510">
        <f t="shared" si="42"/>
        <v>0</v>
      </c>
      <c r="J86" s="510">
        <f t="shared" si="42"/>
        <v>0</v>
      </c>
      <c r="K86" s="510">
        <f t="shared" si="42"/>
        <v>0</v>
      </c>
      <c r="L86" s="510">
        <f t="shared" si="42"/>
        <v>0</v>
      </c>
      <c r="M86" s="510">
        <f t="shared" si="42"/>
        <v>0</v>
      </c>
      <c r="N86" s="510">
        <f t="shared" si="42"/>
        <v>0</v>
      </c>
      <c r="O86" s="510">
        <f t="shared" si="42"/>
        <v>0</v>
      </c>
    </row>
    <row r="87" spans="1:15" s="123" customFormat="1" ht="13.5" thickBot="1">
      <c r="A87" s="235" t="s">
        <v>72</v>
      </c>
      <c r="B87" s="236"/>
      <c r="C87" s="629">
        <f>8140000/Параметры!C14</f>
        <v>281174.43868739204</v>
      </c>
      <c r="D87" s="231">
        <f>D84+D85-D86</f>
        <v>281174.43868739204</v>
      </c>
      <c r="E87" s="231">
        <f aca="true" t="shared" si="43" ref="E87:O87">E84+E85-E86</f>
        <v>281174.43868739204</v>
      </c>
      <c r="F87" s="231">
        <f t="shared" si="43"/>
        <v>281174.43868739204</v>
      </c>
      <c r="G87" s="231">
        <f t="shared" si="43"/>
        <v>281174.43868739204</v>
      </c>
      <c r="H87" s="231">
        <f t="shared" si="43"/>
        <v>281174.43868739204</v>
      </c>
      <c r="I87" s="231">
        <f t="shared" si="43"/>
        <v>281174.43868739204</v>
      </c>
      <c r="J87" s="231">
        <f t="shared" si="43"/>
        <v>281174.43868739204</v>
      </c>
      <c r="K87" s="231">
        <f t="shared" si="43"/>
        <v>281174.43868739204</v>
      </c>
      <c r="L87" s="231">
        <f t="shared" si="43"/>
        <v>281174.43868739204</v>
      </c>
      <c r="M87" s="231">
        <f t="shared" si="43"/>
        <v>281174.43868739204</v>
      </c>
      <c r="N87" s="231">
        <f t="shared" si="43"/>
        <v>281174.43868739204</v>
      </c>
      <c r="O87" s="231">
        <f t="shared" si="43"/>
        <v>281174.43868739204</v>
      </c>
    </row>
    <row r="88" spans="1:15" ht="13.5" thickTop="1">
      <c r="A88" s="120" t="s">
        <v>236</v>
      </c>
      <c r="B88" s="232"/>
      <c r="D88" s="233">
        <f>D87-C87</f>
        <v>0</v>
      </c>
      <c r="E88" s="233">
        <f aca="true" t="shared" si="44" ref="E88:N88">E87-D87</f>
        <v>0</v>
      </c>
      <c r="F88" s="233">
        <f t="shared" si="44"/>
        <v>0</v>
      </c>
      <c r="G88" s="233">
        <f t="shared" si="44"/>
        <v>0</v>
      </c>
      <c r="H88" s="233">
        <f t="shared" si="44"/>
        <v>0</v>
      </c>
      <c r="I88" s="233">
        <f t="shared" si="44"/>
        <v>0</v>
      </c>
      <c r="J88" s="233">
        <f t="shared" si="44"/>
        <v>0</v>
      </c>
      <c r="K88" s="233">
        <f t="shared" si="44"/>
        <v>0</v>
      </c>
      <c r="L88" s="233">
        <f t="shared" si="44"/>
        <v>0</v>
      </c>
      <c r="M88" s="233">
        <f t="shared" si="44"/>
        <v>0</v>
      </c>
      <c r="N88" s="233">
        <f t="shared" si="44"/>
        <v>0</v>
      </c>
      <c r="O88" s="233"/>
    </row>
    <row r="89" spans="1:132" ht="12.75">
      <c r="A89" s="120"/>
      <c r="C89" s="114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</row>
    <row r="90" spans="1:132" ht="12.75">
      <c r="A90" s="120"/>
      <c r="C90" s="114"/>
      <c r="D90" s="115"/>
      <c r="E90" s="115"/>
      <c r="F90" s="115"/>
      <c r="G90" s="115"/>
      <c r="H90" s="115"/>
      <c r="I90" s="115"/>
      <c r="J90" s="115"/>
      <c r="K90" s="233"/>
      <c r="L90" s="115"/>
      <c r="M90" s="115"/>
      <c r="N90" s="115"/>
      <c r="O90" s="115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</row>
  </sheetData>
  <sheetProtection/>
  <mergeCells count="14">
    <mergeCell ref="N5:N6"/>
    <mergeCell ref="O5:O6"/>
    <mergeCell ref="J5:J6"/>
    <mergeCell ref="K5:K6"/>
    <mergeCell ref="L5:L6"/>
    <mergeCell ref="M5:M6"/>
    <mergeCell ref="A2:K2"/>
    <mergeCell ref="A3:K3"/>
    <mergeCell ref="A5:A6"/>
    <mergeCell ref="B5:B6"/>
    <mergeCell ref="C5:C6"/>
    <mergeCell ref="H5:H6"/>
    <mergeCell ref="I5:I6"/>
    <mergeCell ref="D5:G5"/>
  </mergeCells>
  <hyperlinks>
    <hyperlink ref="A1" location="Содержание!A1" display="Вернуться к содержанию"/>
  </hyperlinks>
  <printOptions horizontalCentered="1"/>
  <pageMargins left="0.32" right="0.22" top="0.35" bottom="0.36" header="0.1968503937007874" footer="0.1968503937007874"/>
  <pageSetup fitToHeight="6" fitToWidth="1" horizontalDpi="300" verticalDpi="300" orientation="landscape" paperSize="9" scale="61" r:id="rId1"/>
  <headerFooter alignWithMargins="0">
    <oddHeader>&amp;LТабл.х.&amp;P&amp;RБЮДЖЕТ</oddHeader>
    <oddFooter>&amp;L&amp;8&amp;F01_v01&amp;R&amp;8&amp;D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</sheetPr>
  <dimension ref="A1:EB279"/>
  <sheetViews>
    <sheetView zoomScale="90" zoomScaleNormal="90" zoomScalePageLayoutView="0" workbookViewId="0" topLeftCell="A1">
      <pane ySplit="10" topLeftCell="A62" activePane="bottomLeft" state="frozen"/>
      <selection pane="topLeft" activeCell="A1" sqref="A1"/>
      <selection pane="bottomLeft" activeCell="C79" sqref="C79"/>
    </sheetView>
  </sheetViews>
  <sheetFormatPr defaultColWidth="9.75390625" defaultRowHeight="12.75"/>
  <cols>
    <col min="1" max="1" width="8.375" style="145" customWidth="1"/>
    <col min="2" max="2" width="51.75390625" style="105" bestFit="1" customWidth="1"/>
    <col min="3" max="3" width="10.75390625" style="104" customWidth="1"/>
    <col min="4" max="11" width="10.75390625" style="104" bestFit="1" customWidth="1"/>
    <col min="12" max="12" width="11.375" style="104" bestFit="1" customWidth="1"/>
    <col min="13" max="15" width="11.25390625" style="104" bestFit="1" customWidth="1"/>
    <col min="16" max="16384" width="9.75390625" style="105" customWidth="1"/>
  </cols>
  <sheetData>
    <row r="1" spans="1:3" s="2" customFormat="1" ht="12.75">
      <c r="A1" s="6" t="s">
        <v>129</v>
      </c>
      <c r="C1" s="8"/>
    </row>
    <row r="2" s="8" customFormat="1" ht="12.75">
      <c r="A2" s="44"/>
    </row>
    <row r="3" spans="1:13" s="12" customFormat="1" ht="18.75">
      <c r="A3" s="1149" t="s">
        <v>494</v>
      </c>
      <c r="B3" s="1149"/>
      <c r="C3" s="1149"/>
      <c r="D3" s="1149"/>
      <c r="E3" s="1149"/>
      <c r="F3" s="1149"/>
      <c r="G3" s="1149"/>
      <c r="H3" s="1149"/>
      <c r="I3" s="1149"/>
      <c r="J3" s="1149"/>
      <c r="K3" s="1149"/>
      <c r="L3" s="1149"/>
      <c r="M3" s="1149"/>
    </row>
    <row r="4" spans="1:13" s="12" customFormat="1" ht="18.75">
      <c r="A4" s="1149"/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</row>
    <row r="5" spans="1:7" s="12" customFormat="1" ht="13.5">
      <c r="A5" s="501"/>
      <c r="B5" s="96"/>
      <c r="C5" s="97"/>
      <c r="D5" s="97"/>
      <c r="E5" s="97"/>
      <c r="F5" s="97"/>
      <c r="G5" s="98"/>
    </row>
    <row r="6" spans="1:7" s="12" customFormat="1" ht="13.5">
      <c r="A6" s="501"/>
      <c r="B6" s="96"/>
      <c r="C6" s="97"/>
      <c r="D6" s="97"/>
      <c r="E6" s="97"/>
      <c r="F6" s="97"/>
      <c r="G6" s="98"/>
    </row>
    <row r="7" spans="1:7" s="12" customFormat="1" ht="19.5" customHeight="1">
      <c r="A7" s="501"/>
      <c r="B7" s="96"/>
      <c r="C7" s="97"/>
      <c r="D7" s="97"/>
      <c r="E7" s="97"/>
      <c r="F7" s="97"/>
      <c r="G7" s="98"/>
    </row>
    <row r="8" spans="1:15" s="94" customFormat="1" ht="12.75" customHeight="1">
      <c r="A8" s="1147" t="s">
        <v>255</v>
      </c>
      <c r="B8" s="1147" t="s">
        <v>216</v>
      </c>
      <c r="C8" s="1121">
        <f>D8-1</f>
        <v>2005</v>
      </c>
      <c r="D8" s="1129">
        <f>Параметры!D3</f>
        <v>2006</v>
      </c>
      <c r="E8" s="1130"/>
      <c r="F8" s="1130"/>
      <c r="G8" s="1131"/>
      <c r="H8" s="1133">
        <f>D8+1</f>
        <v>2007</v>
      </c>
      <c r="I8" s="1133">
        <f>H8+1</f>
        <v>2008</v>
      </c>
      <c r="J8" s="1133">
        <f aca="true" t="shared" si="0" ref="J8:O8">I8+1</f>
        <v>2009</v>
      </c>
      <c r="K8" s="1133">
        <f t="shared" si="0"/>
        <v>2010</v>
      </c>
      <c r="L8" s="1133">
        <f t="shared" si="0"/>
        <v>2011</v>
      </c>
      <c r="M8" s="1133">
        <f t="shared" si="0"/>
        <v>2012</v>
      </c>
      <c r="N8" s="1133">
        <f t="shared" si="0"/>
        <v>2013</v>
      </c>
      <c r="O8" s="1133">
        <f t="shared" si="0"/>
        <v>2014</v>
      </c>
    </row>
    <row r="9" spans="1:15" s="94" customFormat="1" ht="12.75">
      <c r="A9" s="1148"/>
      <c r="B9" s="1148"/>
      <c r="C9" s="1122"/>
      <c r="D9" s="763" t="s">
        <v>725</v>
      </c>
      <c r="E9" s="763" t="s">
        <v>726</v>
      </c>
      <c r="F9" s="763" t="s">
        <v>727</v>
      </c>
      <c r="G9" s="763" t="s">
        <v>728</v>
      </c>
      <c r="H9" s="1133"/>
      <c r="I9" s="1133"/>
      <c r="J9" s="1133"/>
      <c r="K9" s="1133"/>
      <c r="L9" s="1133"/>
      <c r="M9" s="1133"/>
      <c r="N9" s="1133"/>
      <c r="O9" s="1133"/>
    </row>
    <row r="10" spans="1:15" s="93" customFormat="1" ht="12.75" customHeight="1">
      <c r="A10" s="11">
        <v>1</v>
      </c>
      <c r="B10" s="54">
        <f>A10+1</f>
        <v>2</v>
      </c>
      <c r="C10" s="54">
        <f aca="true" t="shared" si="1" ref="C10:O10">B10+1</f>
        <v>3</v>
      </c>
      <c r="D10" s="54">
        <f t="shared" si="1"/>
        <v>4</v>
      </c>
      <c r="E10" s="54">
        <f t="shared" si="1"/>
        <v>5</v>
      </c>
      <c r="F10" s="54">
        <f t="shared" si="1"/>
        <v>6</v>
      </c>
      <c r="G10" s="54">
        <f t="shared" si="1"/>
        <v>7</v>
      </c>
      <c r="H10" s="54">
        <f t="shared" si="1"/>
        <v>8</v>
      </c>
      <c r="I10" s="54">
        <f t="shared" si="1"/>
        <v>9</v>
      </c>
      <c r="J10" s="54">
        <f t="shared" si="1"/>
        <v>10</v>
      </c>
      <c r="K10" s="54">
        <f t="shared" si="1"/>
        <v>11</v>
      </c>
      <c r="L10" s="54">
        <f t="shared" si="1"/>
        <v>12</v>
      </c>
      <c r="M10" s="54">
        <f t="shared" si="1"/>
        <v>13</v>
      </c>
      <c r="N10" s="54">
        <f t="shared" si="1"/>
        <v>14</v>
      </c>
      <c r="O10" s="54">
        <f t="shared" si="1"/>
        <v>15</v>
      </c>
    </row>
    <row r="11" spans="1:15" s="104" customFormat="1" ht="12.75">
      <c r="A11" s="502"/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32" s="104" customFormat="1" ht="12.75">
      <c r="A12" s="14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</row>
    <row r="13" spans="1:132" s="104" customFormat="1" ht="10.5" customHeight="1">
      <c r="A13" s="507"/>
      <c r="B13" s="106"/>
      <c r="C13" s="122"/>
      <c r="D13" s="345"/>
      <c r="E13" s="142"/>
      <c r="F13" s="142"/>
      <c r="G13" s="122"/>
      <c r="H13" s="122"/>
      <c r="I13" s="122"/>
      <c r="J13" s="122"/>
      <c r="K13" s="122"/>
      <c r="L13" s="122"/>
      <c r="M13" s="122"/>
      <c r="N13" s="122"/>
      <c r="O13" s="122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</row>
    <row r="14" spans="1:132" s="104" customFormat="1" ht="15.75">
      <c r="A14" s="507"/>
      <c r="B14" s="500"/>
      <c r="C14" s="122"/>
      <c r="D14" s="345"/>
      <c r="E14" s="142"/>
      <c r="F14" s="142"/>
      <c r="G14" s="122"/>
      <c r="H14" s="122"/>
      <c r="I14" s="122"/>
      <c r="J14" s="122"/>
      <c r="K14" s="122"/>
      <c r="L14" s="122"/>
      <c r="M14" s="122"/>
      <c r="N14" s="122"/>
      <c r="O14" s="122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</row>
    <row r="15" spans="1:15" ht="12.75">
      <c r="A15" s="503" t="s">
        <v>440</v>
      </c>
      <c r="B15" s="146" t="str">
        <f>VLOOKUP(A15,Справочники!$B:$F,3,FALSE)</f>
        <v>Кредиторская задолженность по основной деятельности</v>
      </c>
      <c r="C15" s="111"/>
      <c r="D15" s="112"/>
      <c r="E15" s="113"/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32" s="127" customFormat="1" ht="11.25">
      <c r="A16" s="504" t="s">
        <v>240</v>
      </c>
      <c r="C16" s="128"/>
      <c r="D16" s="171" t="e">
        <f aca="true" t="shared" si="2" ref="D16:O16">C20/((C18)/30)</f>
        <v>#DIV/0!</v>
      </c>
      <c r="E16" s="171">
        <f t="shared" si="2"/>
        <v>1.643835616438356</v>
      </c>
      <c r="F16" s="171">
        <f t="shared" si="2"/>
        <v>2.0303081531924674</v>
      </c>
      <c r="G16" s="171">
        <f t="shared" si="2"/>
        <v>3.1253057073743564</v>
      </c>
      <c r="H16" s="171">
        <f t="shared" si="2"/>
        <v>3.0957648435670646</v>
      </c>
      <c r="I16" s="171">
        <f t="shared" si="2"/>
        <v>1.8953408455863363</v>
      </c>
      <c r="J16" s="171">
        <f t="shared" si="2"/>
        <v>2.5474297601319007</v>
      </c>
      <c r="K16" s="171">
        <f t="shared" si="2"/>
        <v>2.744018794576189</v>
      </c>
      <c r="L16" s="171">
        <f t="shared" si="2"/>
        <v>46.60529356068833</v>
      </c>
      <c r="M16" s="171">
        <f t="shared" si="2"/>
        <v>4.212328767123288</v>
      </c>
      <c r="N16" s="171" t="e">
        <f t="shared" si="2"/>
        <v>#DIV/0!</v>
      </c>
      <c r="O16" s="171" t="e">
        <f t="shared" si="2"/>
        <v>#DIV/0!</v>
      </c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</row>
    <row r="17" spans="1:132" ht="12.75">
      <c r="A17" s="145" t="s">
        <v>163</v>
      </c>
      <c r="C17" s="114"/>
      <c r="D17" s="115">
        <f aca="true" t="shared" si="3" ref="D17:O17">C20</f>
        <v>85578.58376511227</v>
      </c>
      <c r="E17" s="115">
        <f t="shared" si="3"/>
        <v>12448.38217995126</v>
      </c>
      <c r="F17" s="115">
        <f t="shared" si="3"/>
        <v>65396.760262143034</v>
      </c>
      <c r="G17" s="115">
        <f t="shared" si="3"/>
        <v>111699.76986301367</v>
      </c>
      <c r="H17" s="115">
        <f t="shared" si="3"/>
        <v>125268.15342465752</v>
      </c>
      <c r="I17" s="115">
        <f t="shared" si="3"/>
        <v>501269.63835616445</v>
      </c>
      <c r="J17" s="115">
        <f t="shared" si="3"/>
        <v>1225663.5616438356</v>
      </c>
      <c r="K17" s="115">
        <f t="shared" si="3"/>
        <v>1972647.6712328766</v>
      </c>
      <c r="L17" s="115">
        <f t="shared" si="3"/>
        <v>1224942.4657534247</v>
      </c>
      <c r="M17" s="115">
        <f t="shared" si="3"/>
        <v>70856.98630136986</v>
      </c>
      <c r="N17" s="115">
        <f t="shared" si="3"/>
        <v>27651.50684931507</v>
      </c>
      <c r="O17" s="115">
        <f t="shared" si="3"/>
        <v>0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</row>
    <row r="18" spans="2:132" ht="12.75">
      <c r="B18" s="105" t="s">
        <v>241</v>
      </c>
      <c r="C18" s="138">
        <f aca="true" t="shared" si="4" ref="C18:O18">C109</f>
        <v>0</v>
      </c>
      <c r="D18" s="138">
        <f t="shared" si="4"/>
        <v>227182.9747841105</v>
      </c>
      <c r="E18" s="138">
        <f t="shared" si="4"/>
        <v>966307.8999999999</v>
      </c>
      <c r="F18" s="138">
        <f t="shared" si="4"/>
        <v>1072212.9</v>
      </c>
      <c r="G18" s="138">
        <f t="shared" si="4"/>
        <v>1213930.9</v>
      </c>
      <c r="H18" s="138">
        <f t="shared" si="4"/>
        <v>7934240</v>
      </c>
      <c r="I18" s="138">
        <f t="shared" si="4"/>
        <v>14434120</v>
      </c>
      <c r="J18" s="138">
        <f t="shared" si="4"/>
        <v>21566700</v>
      </c>
      <c r="K18" s="138">
        <f t="shared" si="4"/>
        <v>788499.9999999999</v>
      </c>
      <c r="L18" s="138">
        <f t="shared" si="4"/>
        <v>504640</v>
      </c>
      <c r="M18" s="138">
        <f t="shared" si="4"/>
        <v>0</v>
      </c>
      <c r="N18" s="138">
        <f t="shared" si="4"/>
        <v>0</v>
      </c>
      <c r="O18" s="138">
        <f t="shared" si="4"/>
        <v>0</v>
      </c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</row>
    <row r="19" spans="2:132" ht="12.75">
      <c r="B19" s="105" t="s">
        <v>456</v>
      </c>
      <c r="C19" s="172"/>
      <c r="D19" s="172">
        <f aca="true" t="shared" si="5" ref="D19:O19">D110</f>
        <v>-300313.17636927153</v>
      </c>
      <c r="E19" s="172">
        <f t="shared" si="5"/>
        <v>-913359.5219178082</v>
      </c>
      <c r="F19" s="172">
        <f t="shared" si="5"/>
        <v>-1025909.8903991294</v>
      </c>
      <c r="G19" s="172">
        <f t="shared" si="5"/>
        <v>-1200362.5164383561</v>
      </c>
      <c r="H19" s="172">
        <f t="shared" si="5"/>
        <v>-7558238.515068494</v>
      </c>
      <c r="I19" s="172">
        <f t="shared" si="5"/>
        <v>-13709726.076712329</v>
      </c>
      <c r="J19" s="172">
        <f t="shared" si="5"/>
        <v>-20819715.89041096</v>
      </c>
      <c r="K19" s="172">
        <f t="shared" si="5"/>
        <v>-1536205.2054794517</v>
      </c>
      <c r="L19" s="172">
        <f t="shared" si="5"/>
        <v>-1658725.4794520547</v>
      </c>
      <c r="M19" s="172">
        <f t="shared" si="5"/>
        <v>-43205.479452054795</v>
      </c>
      <c r="N19" s="172">
        <f t="shared" si="5"/>
        <v>-27651.50684931507</v>
      </c>
      <c r="O19" s="172">
        <f t="shared" si="5"/>
        <v>0</v>
      </c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</row>
    <row r="20" spans="1:132" s="108" customFormat="1" ht="13.5" thickBot="1">
      <c r="A20" s="506" t="s">
        <v>164</v>
      </c>
      <c r="B20" s="117"/>
      <c r="C20" s="118">
        <f aca="true" t="shared" si="6" ref="C20:O20">C111</f>
        <v>85578.58376511227</v>
      </c>
      <c r="D20" s="118">
        <f t="shared" si="6"/>
        <v>12448.38217995126</v>
      </c>
      <c r="E20" s="118">
        <f t="shared" si="6"/>
        <v>65396.760262143034</v>
      </c>
      <c r="F20" s="118">
        <f t="shared" si="6"/>
        <v>111699.76986301367</v>
      </c>
      <c r="G20" s="118">
        <f t="shared" si="6"/>
        <v>125268.15342465752</v>
      </c>
      <c r="H20" s="118">
        <f t="shared" si="6"/>
        <v>501269.63835616445</v>
      </c>
      <c r="I20" s="118">
        <f t="shared" si="6"/>
        <v>1225663.5616438356</v>
      </c>
      <c r="J20" s="118">
        <f t="shared" si="6"/>
        <v>1972647.6712328766</v>
      </c>
      <c r="K20" s="118">
        <f t="shared" si="6"/>
        <v>1224942.4657534247</v>
      </c>
      <c r="L20" s="118">
        <f t="shared" si="6"/>
        <v>70856.98630136986</v>
      </c>
      <c r="M20" s="118">
        <f t="shared" si="6"/>
        <v>27651.50684931507</v>
      </c>
      <c r="N20" s="118">
        <f t="shared" si="6"/>
        <v>0</v>
      </c>
      <c r="O20" s="118">
        <f t="shared" si="6"/>
        <v>0</v>
      </c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</row>
    <row r="21" spans="1:132" s="104" customFormat="1" ht="13.5" thickTop="1">
      <c r="A21" s="145" t="s">
        <v>236</v>
      </c>
      <c r="C21" s="115"/>
      <c r="D21" s="115">
        <f aca="true" t="shared" si="7" ref="D21:O21">D20-C20</f>
        <v>-73130.201585161</v>
      </c>
      <c r="E21" s="115">
        <f t="shared" si="7"/>
        <v>52948.378082191775</v>
      </c>
      <c r="F21" s="115">
        <f t="shared" si="7"/>
        <v>46303.00960087064</v>
      </c>
      <c r="G21" s="115">
        <f t="shared" si="7"/>
        <v>13568.383561643845</v>
      </c>
      <c r="H21" s="115">
        <f t="shared" si="7"/>
        <v>376001.4849315069</v>
      </c>
      <c r="I21" s="115">
        <f t="shared" si="7"/>
        <v>724393.9232876712</v>
      </c>
      <c r="J21" s="115">
        <f t="shared" si="7"/>
        <v>746984.109589041</v>
      </c>
      <c r="K21" s="115">
        <f t="shared" si="7"/>
        <v>-747705.2054794519</v>
      </c>
      <c r="L21" s="115">
        <f t="shared" si="7"/>
        <v>-1154085.4794520547</v>
      </c>
      <c r="M21" s="115">
        <f t="shared" si="7"/>
        <v>-43205.479452054795</v>
      </c>
      <c r="N21" s="115">
        <f t="shared" si="7"/>
        <v>-27651.50684931507</v>
      </c>
      <c r="O21" s="115">
        <f t="shared" si="7"/>
        <v>0</v>
      </c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</row>
    <row r="22" spans="1:132" s="104" customFormat="1" ht="15.75">
      <c r="A22" s="507"/>
      <c r="B22" s="500"/>
      <c r="C22" s="122"/>
      <c r="D22" s="345"/>
      <c r="E22" s="142"/>
      <c r="F22" s="142"/>
      <c r="G22" s="122"/>
      <c r="H22" s="122"/>
      <c r="I22" s="122"/>
      <c r="J22" s="122"/>
      <c r="K22" s="122"/>
      <c r="L22" s="122"/>
      <c r="M22" s="122"/>
      <c r="N22" s="122"/>
      <c r="O22" s="122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</row>
    <row r="23" spans="1:132" s="104" customFormat="1" ht="15.75">
      <c r="A23" s="507"/>
      <c r="B23" s="500"/>
      <c r="C23" s="122"/>
      <c r="D23" s="345"/>
      <c r="E23" s="142"/>
      <c r="F23" s="142"/>
      <c r="G23" s="122"/>
      <c r="H23" s="122"/>
      <c r="I23" s="122"/>
      <c r="J23" s="122"/>
      <c r="K23" s="122"/>
      <c r="L23" s="122"/>
      <c r="M23" s="122"/>
      <c r="N23" s="122"/>
      <c r="O23" s="122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</row>
    <row r="24" spans="1:15" ht="12.75">
      <c r="A24" s="503" t="s">
        <v>441</v>
      </c>
      <c r="B24" s="146" t="str">
        <f>VLOOKUP(A24,Справочники!$B:$F,3,FALSE)</f>
        <v>Прочие кредиторы (поставщики и подрядчики)</v>
      </c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32" s="127" customFormat="1" ht="11.25">
      <c r="A25" s="504" t="s">
        <v>240</v>
      </c>
      <c r="C25" s="128"/>
      <c r="D25" s="171">
        <f aca="true" t="shared" si="8" ref="D25:O25">C29/((C27)/30)</f>
        <v>21.999136442141626</v>
      </c>
      <c r="E25" s="171">
        <f t="shared" si="8"/>
        <v>2.199899091086308</v>
      </c>
      <c r="F25" s="171">
        <f t="shared" si="8"/>
        <v>1.1896387069019223</v>
      </c>
      <c r="G25" s="171">
        <f t="shared" si="8"/>
        <v>2.177642144461231</v>
      </c>
      <c r="H25" s="171">
        <f t="shared" si="8"/>
        <v>1.4356806885302162</v>
      </c>
      <c r="I25" s="171">
        <f t="shared" si="8"/>
        <v>0.9559036541426535</v>
      </c>
      <c r="J25" s="171">
        <f t="shared" si="8"/>
        <v>1.3548967004001908</v>
      </c>
      <c r="K25" s="171">
        <f t="shared" si="8"/>
        <v>1.3892710361993184</v>
      </c>
      <c r="L25" s="171">
        <f t="shared" si="8"/>
        <v>2.1914834997993053</v>
      </c>
      <c r="M25" s="171">
        <f t="shared" si="8"/>
        <v>0</v>
      </c>
      <c r="N25" s="171" t="e">
        <f t="shared" si="8"/>
        <v>#DIV/0!</v>
      </c>
      <c r="O25" s="171" t="e">
        <f t="shared" si="8"/>
        <v>#DIV/0!</v>
      </c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</row>
    <row r="26" spans="1:132" ht="12.75">
      <c r="A26" s="145" t="s">
        <v>163</v>
      </c>
      <c r="C26" s="114"/>
      <c r="D26" s="115">
        <f aca="true" t="shared" si="9" ref="D26:O26">D61+D84+D100+D116</f>
        <v>87996.5457685665</v>
      </c>
      <c r="E26" s="115">
        <f t="shared" si="9"/>
        <v>7103.022452504319</v>
      </c>
      <c r="F26" s="115">
        <f t="shared" si="9"/>
        <v>10167.439136915325</v>
      </c>
      <c r="G26" s="115">
        <f t="shared" si="9"/>
        <v>14628.662431684294</v>
      </c>
      <c r="H26" s="115">
        <f t="shared" si="9"/>
        <v>15009.076821160717</v>
      </c>
      <c r="I26" s="115">
        <f t="shared" si="9"/>
        <v>41603.50095819434</v>
      </c>
      <c r="J26" s="115">
        <f t="shared" si="9"/>
        <v>69166.25263207704</v>
      </c>
      <c r="K26" s="115">
        <f t="shared" si="9"/>
        <v>82999.50315849244</v>
      </c>
      <c r="L26" s="115">
        <f t="shared" si="9"/>
        <v>44958.064210850076</v>
      </c>
      <c r="M26" s="115">
        <f t="shared" si="9"/>
        <v>0</v>
      </c>
      <c r="N26" s="115">
        <f t="shared" si="9"/>
        <v>0</v>
      </c>
      <c r="O26" s="115">
        <f t="shared" si="9"/>
        <v>0</v>
      </c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</row>
    <row r="27" spans="2:132" ht="12.75">
      <c r="B27" s="105" t="s">
        <v>241</v>
      </c>
      <c r="C27" s="138">
        <f>C62+C85+C101+C117</f>
        <v>120000</v>
      </c>
      <c r="D27" s="138">
        <f>D62+D85+D101+D117</f>
        <v>96863.84</v>
      </c>
      <c r="E27" s="138">
        <f aca="true" t="shared" si="10" ref="E27:O27">E62+E85+E101+E117</f>
        <v>256399.84</v>
      </c>
      <c r="F27" s="138">
        <f t="shared" si="10"/>
        <v>201529.84</v>
      </c>
      <c r="G27" s="138">
        <f t="shared" si="10"/>
        <v>313629.83999999997</v>
      </c>
      <c r="H27" s="138">
        <f t="shared" si="10"/>
        <v>1305680.78</v>
      </c>
      <c r="I27" s="138">
        <f t="shared" si="10"/>
        <v>1531472.9</v>
      </c>
      <c r="J27" s="138">
        <f t="shared" si="10"/>
        <v>1792296.125</v>
      </c>
      <c r="K27" s="138">
        <f t="shared" si="10"/>
        <v>615446.99125</v>
      </c>
      <c r="L27" s="138">
        <f t="shared" si="10"/>
        <v>97280.00000000001</v>
      </c>
      <c r="M27" s="138">
        <f t="shared" si="10"/>
        <v>0</v>
      </c>
      <c r="N27" s="138">
        <f t="shared" si="10"/>
        <v>0</v>
      </c>
      <c r="O27" s="138">
        <f t="shared" si="10"/>
        <v>0</v>
      </c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</row>
    <row r="28" spans="2:132" ht="12.75">
      <c r="B28" s="105" t="s">
        <v>456</v>
      </c>
      <c r="C28" s="172">
        <f>C63+C86+C102+C118</f>
        <v>0</v>
      </c>
      <c r="D28" s="172">
        <f aca="true" t="shared" si="11" ref="D28:O29">D63+D86+D102+D118</f>
        <v>-177757.3633160622</v>
      </c>
      <c r="E28" s="172">
        <f t="shared" si="11"/>
        <v>-253335.423315589</v>
      </c>
      <c r="F28" s="172">
        <f t="shared" si="11"/>
        <v>-197068.61670523102</v>
      </c>
      <c r="G28" s="172">
        <f t="shared" si="11"/>
        <v>-313249.42561052355</v>
      </c>
      <c r="H28" s="172">
        <f t="shared" si="11"/>
        <v>-1279086.3558629665</v>
      </c>
      <c r="I28" s="172">
        <f t="shared" si="11"/>
        <v>-1503910.1483261173</v>
      </c>
      <c r="J28" s="172">
        <f t="shared" si="11"/>
        <v>-1778462.8744735846</v>
      </c>
      <c r="K28" s="172">
        <f t="shared" si="11"/>
        <v>-653488.4301976423</v>
      </c>
      <c r="L28" s="172">
        <f t="shared" si="11"/>
        <v>-142238.0642108501</v>
      </c>
      <c r="M28" s="172">
        <f t="shared" si="11"/>
        <v>0</v>
      </c>
      <c r="N28" s="172">
        <f t="shared" si="11"/>
        <v>0</v>
      </c>
      <c r="O28" s="172">
        <f t="shared" si="11"/>
        <v>0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</row>
    <row r="29" spans="1:132" s="108" customFormat="1" ht="13.5" thickBot="1">
      <c r="A29" s="506" t="s">
        <v>164</v>
      </c>
      <c r="B29" s="117"/>
      <c r="C29" s="118">
        <f>C64+C87+C103+C119</f>
        <v>87996.5457685665</v>
      </c>
      <c r="D29" s="118">
        <f t="shared" si="11"/>
        <v>7103.022452504319</v>
      </c>
      <c r="E29" s="118">
        <f t="shared" si="11"/>
        <v>10167.439136915325</v>
      </c>
      <c r="F29" s="118">
        <f t="shared" si="11"/>
        <v>14628.662431684294</v>
      </c>
      <c r="G29" s="118">
        <f t="shared" si="11"/>
        <v>15009.076821160717</v>
      </c>
      <c r="H29" s="118">
        <f t="shared" si="11"/>
        <v>41603.50095819434</v>
      </c>
      <c r="I29" s="118">
        <f t="shared" si="11"/>
        <v>69166.25263207704</v>
      </c>
      <c r="J29" s="118">
        <f t="shared" si="11"/>
        <v>82999.50315849244</v>
      </c>
      <c r="K29" s="118">
        <f t="shared" si="11"/>
        <v>44958.064210850076</v>
      </c>
      <c r="L29" s="118">
        <f t="shared" si="11"/>
        <v>0</v>
      </c>
      <c r="M29" s="118">
        <f t="shared" si="11"/>
        <v>0</v>
      </c>
      <c r="N29" s="118">
        <f t="shared" si="11"/>
        <v>0</v>
      </c>
      <c r="O29" s="118">
        <f t="shared" si="11"/>
        <v>0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</row>
    <row r="30" spans="1:132" s="104" customFormat="1" ht="13.5" thickTop="1">
      <c r="A30" s="145" t="s">
        <v>236</v>
      </c>
      <c r="C30" s="115"/>
      <c r="D30" s="115">
        <f aca="true" t="shared" si="12" ref="D30:O30">D29-C29</f>
        <v>-80893.52331606219</v>
      </c>
      <c r="E30" s="115">
        <f t="shared" si="12"/>
        <v>3064.416684411007</v>
      </c>
      <c r="F30" s="115">
        <f t="shared" si="12"/>
        <v>4461.223294768968</v>
      </c>
      <c r="G30" s="115">
        <f t="shared" si="12"/>
        <v>380.4143894764238</v>
      </c>
      <c r="H30" s="115">
        <f t="shared" si="12"/>
        <v>26594.42413703362</v>
      </c>
      <c r="I30" s="115">
        <f t="shared" si="12"/>
        <v>27562.751673882703</v>
      </c>
      <c r="J30" s="115">
        <f t="shared" si="12"/>
        <v>13833.250526415402</v>
      </c>
      <c r="K30" s="115">
        <f t="shared" si="12"/>
        <v>-38041.43894764237</v>
      </c>
      <c r="L30" s="115">
        <f t="shared" si="12"/>
        <v>-44958.064210850076</v>
      </c>
      <c r="M30" s="115">
        <f t="shared" si="12"/>
        <v>0</v>
      </c>
      <c r="N30" s="115">
        <f t="shared" si="12"/>
        <v>0</v>
      </c>
      <c r="O30" s="115">
        <f t="shared" si="12"/>
        <v>0</v>
      </c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</row>
    <row r="31" spans="1:132" s="104" customFormat="1" ht="12.75">
      <c r="A31" s="14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</row>
    <row r="32" spans="1:15" ht="12.75">
      <c r="A32" s="503" t="s">
        <v>418</v>
      </c>
      <c r="B32" s="146" t="str">
        <f>VLOOKUP(A32,Справочники!$B:$F,3,FALSE)</f>
        <v>Авансы, выданные поставщикам</v>
      </c>
      <c r="C32" s="111"/>
      <c r="D32" s="112"/>
      <c r="E32" s="113"/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  <row r="33" spans="1:132" s="127" customFormat="1" ht="11.25">
      <c r="A33" s="504" t="s">
        <v>240</v>
      </c>
      <c r="C33" s="128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</row>
    <row r="34" spans="1:132" ht="12.75">
      <c r="A34" s="145" t="s">
        <v>163</v>
      </c>
      <c r="C34" s="114"/>
      <c r="D34" s="115">
        <f aca="true" t="shared" si="13" ref="D34:O34">C37</f>
        <v>70984.45595854922</v>
      </c>
      <c r="E34" s="115">
        <f t="shared" si="13"/>
        <v>70984.45595854922</v>
      </c>
      <c r="F34" s="115">
        <f t="shared" si="13"/>
        <v>70984.45595854922</v>
      </c>
      <c r="G34" s="115">
        <f t="shared" si="13"/>
        <v>70984.45595854922</v>
      </c>
      <c r="H34" s="115">
        <f t="shared" si="13"/>
        <v>70984.45595854922</v>
      </c>
      <c r="I34" s="115">
        <f t="shared" si="13"/>
        <v>70984.45595854922</v>
      </c>
      <c r="J34" s="115">
        <f t="shared" si="13"/>
        <v>70984.45595854922</v>
      </c>
      <c r="K34" s="115">
        <f t="shared" si="13"/>
        <v>70984.45595854922</v>
      </c>
      <c r="L34" s="115">
        <f t="shared" si="13"/>
        <v>70984.45595854922</v>
      </c>
      <c r="M34" s="115">
        <f t="shared" si="13"/>
        <v>70984.45595854922</v>
      </c>
      <c r="N34" s="115">
        <f t="shared" si="13"/>
        <v>70984.45595854922</v>
      </c>
      <c r="O34" s="115">
        <f t="shared" si="13"/>
        <v>70984.45595854922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</row>
    <row r="35" spans="2:132" ht="12.75">
      <c r="B35" s="105" t="s">
        <v>241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</row>
    <row r="36" spans="2:132" ht="12.75">
      <c r="B36" s="105" t="s">
        <v>456</v>
      </c>
      <c r="C36" s="13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</row>
    <row r="37" spans="1:132" s="108" customFormat="1" ht="13.5" thickBot="1">
      <c r="A37" s="506" t="s">
        <v>164</v>
      </c>
      <c r="B37" s="117"/>
      <c r="C37" s="487">
        <f>(1706000+199000+150000)/Параметры!C14</f>
        <v>70984.45595854922</v>
      </c>
      <c r="D37" s="118">
        <f aca="true" t="shared" si="14" ref="D37:O37">D34+D35+D36</f>
        <v>70984.45595854922</v>
      </c>
      <c r="E37" s="118">
        <f t="shared" si="14"/>
        <v>70984.45595854922</v>
      </c>
      <c r="F37" s="118">
        <f t="shared" si="14"/>
        <v>70984.45595854922</v>
      </c>
      <c r="G37" s="118">
        <f t="shared" si="14"/>
        <v>70984.45595854922</v>
      </c>
      <c r="H37" s="118">
        <f t="shared" si="14"/>
        <v>70984.45595854922</v>
      </c>
      <c r="I37" s="118">
        <f t="shared" si="14"/>
        <v>70984.45595854922</v>
      </c>
      <c r="J37" s="118">
        <f t="shared" si="14"/>
        <v>70984.45595854922</v>
      </c>
      <c r="K37" s="118">
        <f t="shared" si="14"/>
        <v>70984.45595854922</v>
      </c>
      <c r="L37" s="118">
        <f t="shared" si="14"/>
        <v>70984.45595854922</v>
      </c>
      <c r="M37" s="118">
        <f t="shared" si="14"/>
        <v>70984.45595854922</v>
      </c>
      <c r="N37" s="118">
        <f t="shared" si="14"/>
        <v>70984.45595854922</v>
      </c>
      <c r="O37" s="118">
        <f t="shared" si="14"/>
        <v>70984.45595854922</v>
      </c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</row>
    <row r="38" spans="1:132" s="104" customFormat="1" ht="13.5" thickTop="1">
      <c r="A38" s="145" t="s">
        <v>236</v>
      </c>
      <c r="C38" s="115"/>
      <c r="D38" s="115">
        <f>D35+D36</f>
        <v>0</v>
      </c>
      <c r="E38" s="115">
        <f aca="true" t="shared" si="15" ref="E38:O38">E35+E36</f>
        <v>0</v>
      </c>
      <c r="F38" s="115">
        <f t="shared" si="15"/>
        <v>0</v>
      </c>
      <c r="G38" s="115">
        <f t="shared" si="15"/>
        <v>0</v>
      </c>
      <c r="H38" s="115">
        <f t="shared" si="15"/>
        <v>0</v>
      </c>
      <c r="I38" s="115">
        <f t="shared" si="15"/>
        <v>0</v>
      </c>
      <c r="J38" s="115">
        <f t="shared" si="15"/>
        <v>0</v>
      </c>
      <c r="K38" s="115">
        <f t="shared" si="15"/>
        <v>0</v>
      </c>
      <c r="L38" s="115">
        <f t="shared" si="15"/>
        <v>0</v>
      </c>
      <c r="M38" s="115">
        <f t="shared" si="15"/>
        <v>0</v>
      </c>
      <c r="N38" s="115">
        <f t="shared" si="15"/>
        <v>0</v>
      </c>
      <c r="O38" s="115">
        <f t="shared" si="15"/>
        <v>0</v>
      </c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</row>
    <row r="39" spans="1:132" s="104" customFormat="1" ht="12.75">
      <c r="A39" s="14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</row>
    <row r="40" spans="1:131" ht="12.75">
      <c r="A40" s="503" t="s">
        <v>442</v>
      </c>
      <c r="B40" s="146" t="str">
        <f>VLOOKUP(A40,Справочники!$B:$F,3,FALSE)</f>
        <v>Расчеты с персоналом</v>
      </c>
      <c r="C40" s="124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</row>
    <row r="41" spans="1:131" ht="12.75">
      <c r="A41" s="145" t="s">
        <v>163</v>
      </c>
      <c r="C41" s="124"/>
      <c r="D41" s="115">
        <f>D68</f>
        <v>4732.297063903282</v>
      </c>
      <c r="E41" s="115">
        <f aca="true" t="shared" si="16" ref="E41:O41">E68</f>
        <v>0</v>
      </c>
      <c r="F41" s="115">
        <f t="shared" si="16"/>
        <v>0</v>
      </c>
      <c r="G41" s="115">
        <f t="shared" si="16"/>
        <v>0</v>
      </c>
      <c r="H41" s="115">
        <f t="shared" si="16"/>
        <v>0</v>
      </c>
      <c r="I41" s="115">
        <f t="shared" si="16"/>
        <v>0</v>
      </c>
      <c r="J41" s="115">
        <f t="shared" si="16"/>
        <v>0</v>
      </c>
      <c r="K41" s="115">
        <f t="shared" si="16"/>
        <v>0</v>
      </c>
      <c r="L41" s="115">
        <f t="shared" si="16"/>
        <v>0</v>
      </c>
      <c r="M41" s="115">
        <f t="shared" si="16"/>
        <v>0</v>
      </c>
      <c r="N41" s="115">
        <f t="shared" si="16"/>
        <v>0</v>
      </c>
      <c r="O41" s="115">
        <f t="shared" si="16"/>
        <v>0</v>
      </c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</row>
    <row r="42" spans="2:131" ht="12.75">
      <c r="B42" s="120" t="s">
        <v>235</v>
      </c>
      <c r="C42" s="115">
        <f>C69</f>
        <v>0</v>
      </c>
      <c r="D42" s="115">
        <f>D69</f>
        <v>92235.9</v>
      </c>
      <c r="E42" s="115">
        <f aca="true" t="shared" si="17" ref="E42:O42">E69</f>
        <v>94020.9</v>
      </c>
      <c r="F42" s="115">
        <f t="shared" si="17"/>
        <v>94909.9</v>
      </c>
      <c r="G42" s="115">
        <f t="shared" si="17"/>
        <v>128666.4</v>
      </c>
      <c r="H42" s="115">
        <f t="shared" si="17"/>
        <v>577035.5875706215</v>
      </c>
      <c r="I42" s="115">
        <f t="shared" si="17"/>
        <v>689463.7225988699</v>
      </c>
      <c r="J42" s="115">
        <f t="shared" si="17"/>
        <v>819831.1118079097</v>
      </c>
      <c r="K42" s="115">
        <f t="shared" si="17"/>
        <v>703626.0873954801</v>
      </c>
      <c r="L42" s="115">
        <f t="shared" si="17"/>
        <v>-95400.0905</v>
      </c>
      <c r="M42" s="115">
        <f t="shared" si="17"/>
        <v>-95400.0905</v>
      </c>
      <c r="N42" s="115">
        <f t="shared" si="17"/>
        <v>-95400.0905</v>
      </c>
      <c r="O42" s="115">
        <f t="shared" si="17"/>
        <v>-95400.0905</v>
      </c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</row>
    <row r="43" spans="2:131" ht="12.75">
      <c r="B43" s="120" t="s">
        <v>141</v>
      </c>
      <c r="C43" s="115">
        <f>C70</f>
        <v>0</v>
      </c>
      <c r="D43" s="115">
        <f aca="true" t="shared" si="18" ref="C43:O44">D70</f>
        <v>-96968.19706390328</v>
      </c>
      <c r="E43" s="115">
        <f t="shared" si="18"/>
        <v>-94020.9</v>
      </c>
      <c r="F43" s="115">
        <f t="shared" si="18"/>
        <v>-94909.9</v>
      </c>
      <c r="G43" s="115">
        <f t="shared" si="18"/>
        <v>-128666.4</v>
      </c>
      <c r="H43" s="115">
        <f t="shared" si="18"/>
        <v>-577035.5875706215</v>
      </c>
      <c r="I43" s="115">
        <f t="shared" si="18"/>
        <v>-689463.7225988699</v>
      </c>
      <c r="J43" s="115">
        <f t="shared" si="18"/>
        <v>-819831.1118079097</v>
      </c>
      <c r="K43" s="115">
        <f t="shared" si="18"/>
        <v>-703626.0873954801</v>
      </c>
      <c r="L43" s="115">
        <f t="shared" si="18"/>
        <v>95400.0905</v>
      </c>
      <c r="M43" s="115">
        <f t="shared" si="18"/>
        <v>95400.0905</v>
      </c>
      <c r="N43" s="115">
        <f t="shared" si="18"/>
        <v>95400.0905</v>
      </c>
      <c r="O43" s="115">
        <f t="shared" si="18"/>
        <v>95400.0905</v>
      </c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</row>
    <row r="44" spans="1:132" s="108" customFormat="1" ht="13.5" thickBot="1">
      <c r="A44" s="506" t="s">
        <v>164</v>
      </c>
      <c r="B44" s="117"/>
      <c r="C44" s="118">
        <f t="shared" si="18"/>
        <v>4732.297063903282</v>
      </c>
      <c r="D44" s="118">
        <f t="shared" si="18"/>
        <v>0</v>
      </c>
      <c r="E44" s="118">
        <f t="shared" si="18"/>
        <v>0</v>
      </c>
      <c r="F44" s="118">
        <f t="shared" si="18"/>
        <v>0</v>
      </c>
      <c r="G44" s="118">
        <f t="shared" si="18"/>
        <v>0</v>
      </c>
      <c r="H44" s="118">
        <f t="shared" si="18"/>
        <v>0</v>
      </c>
      <c r="I44" s="118">
        <f t="shared" si="18"/>
        <v>0</v>
      </c>
      <c r="J44" s="118">
        <f t="shared" si="18"/>
        <v>0</v>
      </c>
      <c r="K44" s="118">
        <f t="shared" si="18"/>
        <v>0</v>
      </c>
      <c r="L44" s="118">
        <f t="shared" si="18"/>
        <v>0</v>
      </c>
      <c r="M44" s="118">
        <f t="shared" si="18"/>
        <v>0</v>
      </c>
      <c r="N44" s="118">
        <f t="shared" si="18"/>
        <v>0</v>
      </c>
      <c r="O44" s="118">
        <f t="shared" si="18"/>
        <v>0</v>
      </c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</row>
    <row r="45" spans="1:132" s="104" customFormat="1" ht="13.5" thickTop="1">
      <c r="A45" s="145" t="s">
        <v>236</v>
      </c>
      <c r="C45" s="115"/>
      <c r="D45" s="115">
        <f aca="true" t="shared" si="19" ref="D45:O45">D42+D43</f>
        <v>-4732.2970639032865</v>
      </c>
      <c r="E45" s="115">
        <f t="shared" si="19"/>
        <v>0</v>
      </c>
      <c r="F45" s="115">
        <f t="shared" si="19"/>
        <v>0</v>
      </c>
      <c r="G45" s="115">
        <f t="shared" si="19"/>
        <v>0</v>
      </c>
      <c r="H45" s="115">
        <f t="shared" si="19"/>
        <v>0</v>
      </c>
      <c r="I45" s="115">
        <f t="shared" si="19"/>
        <v>0</v>
      </c>
      <c r="J45" s="115">
        <f t="shared" si="19"/>
        <v>0</v>
      </c>
      <c r="K45" s="115">
        <f t="shared" si="19"/>
        <v>0</v>
      </c>
      <c r="L45" s="115">
        <f t="shared" si="19"/>
        <v>0</v>
      </c>
      <c r="M45" s="115">
        <f t="shared" si="19"/>
        <v>0</v>
      </c>
      <c r="N45" s="115">
        <f t="shared" si="19"/>
        <v>0</v>
      </c>
      <c r="O45" s="115">
        <f t="shared" si="19"/>
        <v>0</v>
      </c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</row>
    <row r="46" spans="1:132" s="104" customFormat="1" ht="15.75">
      <c r="A46" s="507"/>
      <c r="B46" s="500"/>
      <c r="C46" s="122"/>
      <c r="D46" s="345"/>
      <c r="E46" s="142"/>
      <c r="F46" s="142"/>
      <c r="G46" s="122"/>
      <c r="H46" s="122"/>
      <c r="I46" s="122"/>
      <c r="J46" s="122"/>
      <c r="K46" s="122"/>
      <c r="L46" s="122"/>
      <c r="M46" s="122"/>
      <c r="N46" s="122"/>
      <c r="O46" s="122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</row>
    <row r="47" spans="1:131" ht="12.75">
      <c r="A47" s="503" t="s">
        <v>444</v>
      </c>
      <c r="B47" s="146" t="str">
        <f>VLOOKUP(A47,Справочники!$B:$F,3,FALSE)</f>
        <v>Расчеты по социальному страхованию</v>
      </c>
      <c r="C47" s="124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</row>
    <row r="48" spans="1:131" ht="12.75">
      <c r="A48" s="145" t="s">
        <v>163</v>
      </c>
      <c r="C48" s="124"/>
      <c r="D48" s="115">
        <f>D76</f>
        <v>1260.7944732297065</v>
      </c>
      <c r="E48" s="115">
        <f aca="true" t="shared" si="20" ref="E48:O48">E76</f>
        <v>0</v>
      </c>
      <c r="F48" s="115">
        <f t="shared" si="20"/>
        <v>0</v>
      </c>
      <c r="G48" s="115">
        <f t="shared" si="20"/>
        <v>0</v>
      </c>
      <c r="H48" s="115">
        <f t="shared" si="20"/>
        <v>0</v>
      </c>
      <c r="I48" s="115">
        <f t="shared" si="20"/>
        <v>0</v>
      </c>
      <c r="J48" s="115">
        <f t="shared" si="20"/>
        <v>0</v>
      </c>
      <c r="K48" s="115">
        <f t="shared" si="20"/>
        <v>0</v>
      </c>
      <c r="L48" s="115">
        <f t="shared" si="20"/>
        <v>0</v>
      </c>
      <c r="M48" s="115">
        <f t="shared" si="20"/>
        <v>0</v>
      </c>
      <c r="N48" s="115">
        <f t="shared" si="20"/>
        <v>0</v>
      </c>
      <c r="O48" s="115">
        <f t="shared" si="20"/>
        <v>0</v>
      </c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</row>
    <row r="49" spans="2:131" ht="12.75">
      <c r="B49" s="120" t="s">
        <v>235</v>
      </c>
      <c r="C49" s="115">
        <f>C77</f>
        <v>0</v>
      </c>
      <c r="D49" s="115">
        <f aca="true" t="shared" si="21" ref="D49:O51">D77</f>
        <v>26005.2</v>
      </c>
      <c r="E49" s="115">
        <f t="shared" si="21"/>
        <v>25205.04</v>
      </c>
      <c r="F49" s="115">
        <f t="shared" si="21"/>
        <v>10967.233333333334</v>
      </c>
      <c r="G49" s="115">
        <f t="shared" si="21"/>
        <v>10967.233333333334</v>
      </c>
      <c r="H49" s="115">
        <f t="shared" si="21"/>
        <v>53843.58333333333</v>
      </c>
      <c r="I49" s="115">
        <f t="shared" si="21"/>
        <v>59081.40833333333</v>
      </c>
      <c r="J49" s="115">
        <f t="shared" si="21"/>
        <v>64843.01583333334</v>
      </c>
      <c r="K49" s="115">
        <f t="shared" si="21"/>
        <v>71180.78408333333</v>
      </c>
      <c r="L49" s="115">
        <f t="shared" si="21"/>
        <v>71180.78408333333</v>
      </c>
      <c r="M49" s="115">
        <f t="shared" si="21"/>
        <v>71180.78408333333</v>
      </c>
      <c r="N49" s="115">
        <f t="shared" si="21"/>
        <v>71180.78408333333</v>
      </c>
      <c r="O49" s="115">
        <f t="shared" si="21"/>
        <v>71180.78408333333</v>
      </c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</row>
    <row r="50" spans="2:131" ht="12.75">
      <c r="B50" s="120" t="s">
        <v>141</v>
      </c>
      <c r="C50" s="115">
        <f>C78</f>
        <v>0</v>
      </c>
      <c r="D50" s="115">
        <f t="shared" si="21"/>
        <v>-27265.994473229708</v>
      </c>
      <c r="E50" s="115">
        <f t="shared" si="21"/>
        <v>-25205.04</v>
      </c>
      <c r="F50" s="115">
        <f t="shared" si="21"/>
        <v>-10967.233333333334</v>
      </c>
      <c r="G50" s="115">
        <f t="shared" si="21"/>
        <v>-10967.233333333334</v>
      </c>
      <c r="H50" s="115">
        <f t="shared" si="21"/>
        <v>-53843.58333333333</v>
      </c>
      <c r="I50" s="115">
        <f t="shared" si="21"/>
        <v>-59081.40833333333</v>
      </c>
      <c r="J50" s="115">
        <f t="shared" si="21"/>
        <v>-64843.01583333334</v>
      </c>
      <c r="K50" s="115">
        <f t="shared" si="21"/>
        <v>-71180.78408333333</v>
      </c>
      <c r="L50" s="115">
        <f t="shared" si="21"/>
        <v>-71180.78408333333</v>
      </c>
      <c r="M50" s="115">
        <f t="shared" si="21"/>
        <v>-71180.78408333333</v>
      </c>
      <c r="N50" s="115">
        <f t="shared" si="21"/>
        <v>-71180.78408333333</v>
      </c>
      <c r="O50" s="115">
        <f t="shared" si="21"/>
        <v>-71180.78408333333</v>
      </c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</row>
    <row r="51" spans="1:132" s="108" customFormat="1" ht="13.5" thickBot="1">
      <c r="A51" s="506" t="s">
        <v>164</v>
      </c>
      <c r="B51" s="117"/>
      <c r="C51" s="118">
        <f>C79</f>
        <v>1260.7944732297065</v>
      </c>
      <c r="D51" s="118">
        <f t="shared" si="21"/>
        <v>0</v>
      </c>
      <c r="E51" s="118">
        <f t="shared" si="21"/>
        <v>0</v>
      </c>
      <c r="F51" s="118">
        <f t="shared" si="21"/>
        <v>0</v>
      </c>
      <c r="G51" s="118">
        <f t="shared" si="21"/>
        <v>0</v>
      </c>
      <c r="H51" s="118">
        <f t="shared" si="21"/>
        <v>0</v>
      </c>
      <c r="I51" s="118">
        <f t="shared" si="21"/>
        <v>0</v>
      </c>
      <c r="J51" s="118">
        <f t="shared" si="21"/>
        <v>0</v>
      </c>
      <c r="K51" s="118">
        <f t="shared" si="21"/>
        <v>0</v>
      </c>
      <c r="L51" s="118">
        <f t="shared" si="21"/>
        <v>0</v>
      </c>
      <c r="M51" s="118">
        <f t="shared" si="21"/>
        <v>0</v>
      </c>
      <c r="N51" s="118">
        <f t="shared" si="21"/>
        <v>0</v>
      </c>
      <c r="O51" s="118">
        <f t="shared" si="21"/>
        <v>0</v>
      </c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</row>
    <row r="52" spans="1:132" s="104" customFormat="1" ht="13.5" thickTop="1">
      <c r="A52" s="145" t="s">
        <v>236</v>
      </c>
      <c r="C52" s="115"/>
      <c r="D52" s="115">
        <f aca="true" t="shared" si="22" ref="D52:O52">D49+D50</f>
        <v>-1260.7944732297074</v>
      </c>
      <c r="E52" s="115">
        <f t="shared" si="22"/>
        <v>0</v>
      </c>
      <c r="F52" s="115">
        <f t="shared" si="22"/>
        <v>0</v>
      </c>
      <c r="G52" s="115">
        <f t="shared" si="22"/>
        <v>0</v>
      </c>
      <c r="H52" s="115">
        <f t="shared" si="22"/>
        <v>0</v>
      </c>
      <c r="I52" s="115">
        <f t="shared" si="22"/>
        <v>0</v>
      </c>
      <c r="J52" s="115">
        <f t="shared" si="22"/>
        <v>0</v>
      </c>
      <c r="K52" s="115">
        <f t="shared" si="22"/>
        <v>0</v>
      </c>
      <c r="L52" s="115">
        <f t="shared" si="22"/>
        <v>0</v>
      </c>
      <c r="M52" s="115">
        <f t="shared" si="22"/>
        <v>0</v>
      </c>
      <c r="N52" s="115">
        <f t="shared" si="22"/>
        <v>0</v>
      </c>
      <c r="O52" s="115">
        <f t="shared" si="22"/>
        <v>0</v>
      </c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</row>
    <row r="53" spans="1:132" s="104" customFormat="1" ht="15.75">
      <c r="A53" s="507"/>
      <c r="B53" s="500"/>
      <c r="C53" s="122"/>
      <c r="D53" s="345"/>
      <c r="E53" s="142"/>
      <c r="F53" s="142"/>
      <c r="G53" s="122"/>
      <c r="H53" s="122"/>
      <c r="I53" s="122"/>
      <c r="J53" s="122"/>
      <c r="K53" s="122"/>
      <c r="L53" s="122"/>
      <c r="M53" s="122"/>
      <c r="N53" s="122"/>
      <c r="O53" s="122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</row>
    <row r="54" spans="1:132" s="104" customFormat="1" ht="15.75">
      <c r="A54" s="507"/>
      <c r="B54" s="500"/>
      <c r="C54" s="122"/>
      <c r="D54" s="345"/>
      <c r="E54" s="142"/>
      <c r="F54" s="142"/>
      <c r="G54" s="122"/>
      <c r="H54" s="122"/>
      <c r="I54" s="122"/>
      <c r="J54" s="122"/>
      <c r="K54" s="122"/>
      <c r="L54" s="122"/>
      <c r="M54" s="122"/>
      <c r="N54" s="122"/>
      <c r="O54" s="122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</row>
    <row r="55" spans="1:132" s="104" customFormat="1" ht="15.75">
      <c r="A55" s="507"/>
      <c r="B55" s="500"/>
      <c r="C55" s="122"/>
      <c r="D55" s="345"/>
      <c r="E55" s="142"/>
      <c r="F55" s="142"/>
      <c r="G55" s="122"/>
      <c r="H55" s="122"/>
      <c r="I55" s="122"/>
      <c r="J55" s="122"/>
      <c r="K55" s="122"/>
      <c r="L55" s="122"/>
      <c r="M55" s="122"/>
      <c r="N55" s="122"/>
      <c r="O55" s="122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</row>
    <row r="56" spans="1:132" s="104" customFormat="1" ht="15.75">
      <c r="A56" s="507"/>
      <c r="B56" s="500"/>
      <c r="C56" s="122"/>
      <c r="D56" s="345"/>
      <c r="E56" s="142"/>
      <c r="F56" s="142"/>
      <c r="G56" s="122"/>
      <c r="H56" s="122"/>
      <c r="I56" s="122"/>
      <c r="J56" s="122"/>
      <c r="K56" s="122"/>
      <c r="L56" s="122"/>
      <c r="M56" s="122"/>
      <c r="N56" s="122"/>
      <c r="O56" s="122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</row>
    <row r="57" spans="1:132" s="104" customFormat="1" ht="12.75">
      <c r="A57" s="507"/>
      <c r="B57" s="125" t="s">
        <v>238</v>
      </c>
      <c r="C57" s="122"/>
      <c r="D57" s="345"/>
      <c r="E57" s="142"/>
      <c r="F57" s="142"/>
      <c r="G57" s="122"/>
      <c r="H57" s="122"/>
      <c r="I57" s="122"/>
      <c r="J57" s="122"/>
      <c r="K57" s="122"/>
      <c r="L57" s="122"/>
      <c r="M57" s="122"/>
      <c r="N57" s="122"/>
      <c r="O57" s="122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</row>
    <row r="58" spans="1:132" s="104" customFormat="1" ht="10.5" customHeight="1">
      <c r="A58" s="507"/>
      <c r="B58" s="106"/>
      <c r="C58" s="122"/>
      <c r="D58" s="345"/>
      <c r="E58" s="142"/>
      <c r="F58" s="142"/>
      <c r="G58" s="122"/>
      <c r="H58" s="122"/>
      <c r="I58" s="122"/>
      <c r="J58" s="122"/>
      <c r="K58" s="122"/>
      <c r="L58" s="122"/>
      <c r="M58" s="122"/>
      <c r="N58" s="122"/>
      <c r="O58" s="122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</row>
    <row r="59" spans="1:132" ht="12.75">
      <c r="A59" s="170" t="s">
        <v>295</v>
      </c>
      <c r="B59" s="146" t="str">
        <f>VLOOKUP(A59,Справочники!$B:$F,3,FALSE)</f>
        <v>Материальные затраты</v>
      </c>
      <c r="C59" s="114"/>
      <c r="D59" s="115"/>
      <c r="E59" s="115" t="s">
        <v>239</v>
      </c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</row>
    <row r="60" spans="1:132" s="127" customFormat="1" ht="11.25">
      <c r="A60" s="504" t="s">
        <v>240</v>
      </c>
      <c r="C60" s="128"/>
      <c r="D60" s="129">
        <v>0</v>
      </c>
      <c r="E60" s="129">
        <f aca="true" t="shared" si="23" ref="E60:O60">D60</f>
        <v>0</v>
      </c>
      <c r="F60" s="129">
        <f t="shared" si="23"/>
        <v>0</v>
      </c>
      <c r="G60" s="129">
        <f t="shared" si="23"/>
        <v>0</v>
      </c>
      <c r="H60" s="129">
        <f t="shared" si="23"/>
        <v>0</v>
      </c>
      <c r="I60" s="129">
        <f t="shared" si="23"/>
        <v>0</v>
      </c>
      <c r="J60" s="129">
        <f t="shared" si="23"/>
        <v>0</v>
      </c>
      <c r="K60" s="129">
        <f t="shared" si="23"/>
        <v>0</v>
      </c>
      <c r="L60" s="129">
        <f t="shared" si="23"/>
        <v>0</v>
      </c>
      <c r="M60" s="129">
        <f t="shared" si="23"/>
        <v>0</v>
      </c>
      <c r="N60" s="129">
        <f t="shared" si="23"/>
        <v>0</v>
      </c>
      <c r="O60" s="129">
        <f t="shared" si="23"/>
        <v>0</v>
      </c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</row>
    <row r="61" spans="2:132" ht="12.75">
      <c r="B61" s="145" t="s">
        <v>163</v>
      </c>
      <c r="C61" s="114"/>
      <c r="D61" s="115">
        <f aca="true" t="shared" si="24" ref="D61:O61">C64</f>
        <v>0</v>
      </c>
      <c r="E61" s="115">
        <f t="shared" si="24"/>
        <v>0</v>
      </c>
      <c r="F61" s="115">
        <f t="shared" si="24"/>
        <v>0</v>
      </c>
      <c r="G61" s="115">
        <f t="shared" si="24"/>
        <v>0</v>
      </c>
      <c r="H61" s="115">
        <f t="shared" si="24"/>
        <v>0</v>
      </c>
      <c r="I61" s="115">
        <f t="shared" si="24"/>
        <v>0</v>
      </c>
      <c r="J61" s="115">
        <f t="shared" si="24"/>
        <v>0</v>
      </c>
      <c r="K61" s="115">
        <f t="shared" si="24"/>
        <v>0</v>
      </c>
      <c r="L61" s="115">
        <f t="shared" si="24"/>
        <v>0</v>
      </c>
      <c r="M61" s="115">
        <f t="shared" si="24"/>
        <v>0</v>
      </c>
      <c r="N61" s="115">
        <f t="shared" si="24"/>
        <v>0</v>
      </c>
      <c r="O61" s="115">
        <f t="shared" si="24"/>
        <v>0</v>
      </c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</row>
    <row r="62" spans="1:132" ht="12.75">
      <c r="A62" s="601"/>
      <c r="B62" s="105" t="s">
        <v>241</v>
      </c>
      <c r="C62" s="168"/>
      <c r="D62" s="115">
        <f>SUMIF('ОДР '!$C$10:$C$93,$B59,'ОДР '!D$10:D$93)*(1+Параметры!D$38)</f>
        <v>1298</v>
      </c>
      <c r="E62" s="115">
        <f>SUMIF('ОДР '!$C$10:$C$93,$B59,'ОДР '!E$10:E$93)*(1+Параметры!E$38)</f>
        <v>1298</v>
      </c>
      <c r="F62" s="115">
        <f>SUMIF('ОДР '!$C$10:$C$93,$B59,'ОДР '!F$10:F$93)*(1+Параметры!F$38)</f>
        <v>1298</v>
      </c>
      <c r="G62" s="115">
        <f>SUMIF('ОДР '!$C$10:$C$93,$B59,'ОДР '!G$10:G$93)*(1+Параметры!G$38)</f>
        <v>1298</v>
      </c>
      <c r="H62" s="115">
        <f>SUMIF('ОДР '!$C$10:$C$93,$B59,'ОДР '!H$10:H$93)*(1+Параметры!H$38)</f>
        <v>5900</v>
      </c>
      <c r="I62" s="115">
        <f>SUMIF('ОДР '!$C$10:$C$93,$B59,'ОДР '!I$10:I$93)*(1+Параметры!I$38)</f>
        <v>6490</v>
      </c>
      <c r="J62" s="115">
        <f>SUMIF('ОДР '!$C$10:$C$93,$B59,'ОДР '!J$10:J$93)*(1+Параметры!J$38)</f>
        <v>7080</v>
      </c>
      <c r="K62" s="115">
        <f>SUMIF('ОДР '!$C$10:$C$93,$B59,'ОДР '!K$10:K$93)*(1+Параметры!K$38)</f>
        <v>7670</v>
      </c>
      <c r="L62" s="115">
        <f>SUMIF('ОДР '!$C$10:$C$93,$B59,'ОДР '!L$10:L$93)*(1+Параметры!L$38)</f>
        <v>0</v>
      </c>
      <c r="M62" s="115">
        <f>SUMIF('ОДР '!$C$10:$C$93,$B59,'ОДР '!M$10:M$93)*(1+Параметры!M$38)</f>
        <v>0</v>
      </c>
      <c r="N62" s="115">
        <f>SUMIF('ОДР '!$C$10:$C$93,$B59,'ОДР '!N$10:N$93)*(1+Параметры!N$38)</f>
        <v>0</v>
      </c>
      <c r="O62" s="115">
        <f>SUMIF('ОДР '!$C$10:$C$93,$B59,'ОДР '!O$10:O$93)*(1+Параметры!O$38)</f>
        <v>0</v>
      </c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</row>
    <row r="63" spans="2:132" ht="12.75">
      <c r="B63" s="105" t="s">
        <v>456</v>
      </c>
      <c r="C63" s="114"/>
      <c r="D63" s="115">
        <f aca="true" t="shared" si="25" ref="D63:O63">-C64-D62+D64</f>
        <v>-1298</v>
      </c>
      <c r="E63" s="115">
        <f t="shared" si="25"/>
        <v>-1298</v>
      </c>
      <c r="F63" s="115">
        <f t="shared" si="25"/>
        <v>-1298</v>
      </c>
      <c r="G63" s="115">
        <f t="shared" si="25"/>
        <v>-1298</v>
      </c>
      <c r="H63" s="115">
        <f t="shared" si="25"/>
        <v>-5900</v>
      </c>
      <c r="I63" s="115">
        <f t="shared" si="25"/>
        <v>-6490</v>
      </c>
      <c r="J63" s="115">
        <f t="shared" si="25"/>
        <v>-7080</v>
      </c>
      <c r="K63" s="115">
        <f t="shared" si="25"/>
        <v>-7670</v>
      </c>
      <c r="L63" s="115">
        <f t="shared" si="25"/>
        <v>0</v>
      </c>
      <c r="M63" s="115">
        <f t="shared" si="25"/>
        <v>0</v>
      </c>
      <c r="N63" s="115">
        <f t="shared" si="25"/>
        <v>0</v>
      </c>
      <c r="O63" s="115">
        <f t="shared" si="25"/>
        <v>0</v>
      </c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</row>
    <row r="64" spans="1:132" ht="12.75">
      <c r="A64" s="505" t="s">
        <v>164</v>
      </c>
      <c r="B64" s="132"/>
      <c r="C64" s="133"/>
      <c r="D64" s="134">
        <f>(C62+D62)/365*D60</f>
        <v>0</v>
      </c>
      <c r="E64" s="134">
        <f aca="true" t="shared" si="26" ref="E64:O64">(D62+E62)/365*E60</f>
        <v>0</v>
      </c>
      <c r="F64" s="134">
        <f t="shared" si="26"/>
        <v>0</v>
      </c>
      <c r="G64" s="134">
        <f t="shared" si="26"/>
        <v>0</v>
      </c>
      <c r="H64" s="134">
        <f t="shared" si="26"/>
        <v>0</v>
      </c>
      <c r="I64" s="134">
        <f t="shared" si="26"/>
        <v>0</v>
      </c>
      <c r="J64" s="134">
        <f t="shared" si="26"/>
        <v>0</v>
      </c>
      <c r="K64" s="134">
        <f t="shared" si="26"/>
        <v>0</v>
      </c>
      <c r="L64" s="134">
        <f t="shared" si="26"/>
        <v>0</v>
      </c>
      <c r="M64" s="134">
        <f t="shared" si="26"/>
        <v>0</v>
      </c>
      <c r="N64" s="134">
        <f t="shared" si="26"/>
        <v>0</v>
      </c>
      <c r="O64" s="134">
        <f t="shared" si="26"/>
        <v>0</v>
      </c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</row>
    <row r="65" spans="3:132" ht="12.75">
      <c r="C65" s="114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</row>
    <row r="66" spans="1:132" ht="12.75">
      <c r="A66" s="509" t="s">
        <v>308</v>
      </c>
      <c r="B66" s="146" t="str">
        <f>VLOOKUP(A66,Справочники!$B:$F,3,FALSE)</f>
        <v>Расходы на оплату труда</v>
      </c>
      <c r="C66" s="114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</row>
    <row r="67" spans="1:132" s="127" customFormat="1" ht="11.25">
      <c r="A67" s="504" t="s">
        <v>240</v>
      </c>
      <c r="C67" s="128"/>
      <c r="D67" s="129">
        <v>0</v>
      </c>
      <c r="E67" s="129">
        <f aca="true" t="shared" si="27" ref="E67:O67">D67</f>
        <v>0</v>
      </c>
      <c r="F67" s="129">
        <f t="shared" si="27"/>
        <v>0</v>
      </c>
      <c r="G67" s="129">
        <f t="shared" si="27"/>
        <v>0</v>
      </c>
      <c r="H67" s="129">
        <f t="shared" si="27"/>
        <v>0</v>
      </c>
      <c r="I67" s="129">
        <f t="shared" si="27"/>
        <v>0</v>
      </c>
      <c r="J67" s="129">
        <f t="shared" si="27"/>
        <v>0</v>
      </c>
      <c r="K67" s="129">
        <f t="shared" si="27"/>
        <v>0</v>
      </c>
      <c r="L67" s="129">
        <f t="shared" si="27"/>
        <v>0</v>
      </c>
      <c r="M67" s="129">
        <f t="shared" si="27"/>
        <v>0</v>
      </c>
      <c r="N67" s="129">
        <f t="shared" si="27"/>
        <v>0</v>
      </c>
      <c r="O67" s="129">
        <f t="shared" si="27"/>
        <v>0</v>
      </c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</row>
    <row r="68" spans="1:132" ht="12.75">
      <c r="A68" s="145" t="s">
        <v>163</v>
      </c>
      <c r="C68" s="114"/>
      <c r="D68" s="115">
        <f aca="true" t="shared" si="28" ref="D68:O68">C71</f>
        <v>4732.297063903282</v>
      </c>
      <c r="E68" s="115">
        <f t="shared" si="28"/>
        <v>0</v>
      </c>
      <c r="F68" s="115">
        <f t="shared" si="28"/>
        <v>0</v>
      </c>
      <c r="G68" s="115">
        <f t="shared" si="28"/>
        <v>0</v>
      </c>
      <c r="H68" s="115">
        <f t="shared" si="28"/>
        <v>0</v>
      </c>
      <c r="I68" s="115">
        <f t="shared" si="28"/>
        <v>0</v>
      </c>
      <c r="J68" s="115">
        <f t="shared" si="28"/>
        <v>0</v>
      </c>
      <c r="K68" s="115">
        <f t="shared" si="28"/>
        <v>0</v>
      </c>
      <c r="L68" s="115">
        <f t="shared" si="28"/>
        <v>0</v>
      </c>
      <c r="M68" s="115">
        <f t="shared" si="28"/>
        <v>0</v>
      </c>
      <c r="N68" s="115">
        <f t="shared" si="28"/>
        <v>0</v>
      </c>
      <c r="O68" s="115">
        <f t="shared" si="28"/>
        <v>0</v>
      </c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</row>
    <row r="69" spans="2:132" ht="12.75">
      <c r="B69" s="105" t="s">
        <v>242</v>
      </c>
      <c r="C69" s="168"/>
      <c r="D69" s="115">
        <f>SUMIF('ОДР '!$C$10:$C$94,$B66,'ОДР '!D$10:D$94)-Налоги!D$66</f>
        <v>92235.9</v>
      </c>
      <c r="E69" s="115">
        <f>SUMIF('ОДР '!$C$10:$C$94,$B66,'ОДР '!E$10:E$94)-Налоги!E$66</f>
        <v>94020.9</v>
      </c>
      <c r="F69" s="115">
        <f>SUMIF('ОДР '!$C$10:$C$94,$B66,'ОДР '!F$10:F$94)-Налоги!F$66</f>
        <v>94909.9</v>
      </c>
      <c r="G69" s="115">
        <f>SUMIF('ОДР '!$C$10:$C$94,$B66,'ОДР '!G$10:G$94)-Налоги!G$66</f>
        <v>128666.4</v>
      </c>
      <c r="H69" s="115">
        <f>SUMIF('ОДР '!$C$10:$C$94,$B66,'ОДР '!H$10:H$94)-Налоги!H$66</f>
        <v>577035.5875706215</v>
      </c>
      <c r="I69" s="115">
        <f>SUMIF('ОДР '!$C$10:$C$94,$B66,'ОДР '!I$10:I$94)-Налоги!I$66</f>
        <v>689463.7225988699</v>
      </c>
      <c r="J69" s="115">
        <f>SUMIF('ОДР '!$C$10:$C$94,$B66,'ОДР '!J$10:J$94)-Налоги!J$66</f>
        <v>819831.1118079097</v>
      </c>
      <c r="K69" s="115">
        <f>SUMIF('ОДР '!$C$10:$C$94,$B66,'ОДР '!K$10:K$94)-Налоги!K$66</f>
        <v>703626.0873954801</v>
      </c>
      <c r="L69" s="115">
        <f>SUMIF('ОДР '!$C$10:$C$94,$B66,'ОДР '!L$10:L$94)-Налоги!L$66</f>
        <v>-95400.0905</v>
      </c>
      <c r="M69" s="115">
        <f>SUMIF('ОДР '!$C$10:$C$94,$B66,'ОДР '!M$10:M$94)-Налоги!M$66</f>
        <v>-95400.0905</v>
      </c>
      <c r="N69" s="115">
        <f>SUMIF('ОДР '!$C$10:$C$94,$B66,'ОДР '!N$10:N$94)-Налоги!N$66</f>
        <v>-95400.0905</v>
      </c>
      <c r="O69" s="115">
        <f>SUMIF('ОДР '!$C$10:$C$94,$B66,'ОДР '!O$10:O$94)-Налоги!O$66</f>
        <v>-95400.0905</v>
      </c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</row>
    <row r="70" spans="2:132" ht="12.75">
      <c r="B70" s="105" t="s">
        <v>206</v>
      </c>
      <c r="C70" s="114"/>
      <c r="D70" s="115">
        <f>-C71-D69+D71</f>
        <v>-96968.19706390328</v>
      </c>
      <c r="E70" s="115">
        <f aca="true" t="shared" si="29" ref="E70:O70">-D71-E69+E71</f>
        <v>-94020.9</v>
      </c>
      <c r="F70" s="115">
        <f t="shared" si="29"/>
        <v>-94909.9</v>
      </c>
      <c r="G70" s="115">
        <f t="shared" si="29"/>
        <v>-128666.4</v>
      </c>
      <c r="H70" s="115">
        <f t="shared" si="29"/>
        <v>-577035.5875706215</v>
      </c>
      <c r="I70" s="115">
        <f t="shared" si="29"/>
        <v>-689463.7225988699</v>
      </c>
      <c r="J70" s="115">
        <f t="shared" si="29"/>
        <v>-819831.1118079097</v>
      </c>
      <c r="K70" s="115">
        <f t="shared" si="29"/>
        <v>-703626.0873954801</v>
      </c>
      <c r="L70" s="115">
        <f t="shared" si="29"/>
        <v>95400.0905</v>
      </c>
      <c r="M70" s="115">
        <f t="shared" si="29"/>
        <v>95400.0905</v>
      </c>
      <c r="N70" s="115">
        <f t="shared" si="29"/>
        <v>95400.0905</v>
      </c>
      <c r="O70" s="115">
        <f t="shared" si="29"/>
        <v>95400.0905</v>
      </c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</row>
    <row r="71" spans="1:132" ht="12.75">
      <c r="A71" s="505" t="s">
        <v>164</v>
      </c>
      <c r="B71" s="132"/>
      <c r="C71" s="133">
        <f>137000/Параметры!C14</f>
        <v>4732.297063903282</v>
      </c>
      <c r="D71" s="134">
        <f>(C69+D69)/365*D67</f>
        <v>0</v>
      </c>
      <c r="E71" s="134">
        <f aca="true" t="shared" si="30" ref="E71:O71">(D69+E69)/365*E67</f>
        <v>0</v>
      </c>
      <c r="F71" s="134">
        <f t="shared" si="30"/>
        <v>0</v>
      </c>
      <c r="G71" s="134">
        <f t="shared" si="30"/>
        <v>0</v>
      </c>
      <c r="H71" s="134">
        <f t="shared" si="30"/>
        <v>0</v>
      </c>
      <c r="I71" s="134">
        <f t="shared" si="30"/>
        <v>0</v>
      </c>
      <c r="J71" s="134">
        <f t="shared" si="30"/>
        <v>0</v>
      </c>
      <c r="K71" s="134">
        <f t="shared" si="30"/>
        <v>0</v>
      </c>
      <c r="L71" s="134">
        <f t="shared" si="30"/>
        <v>0</v>
      </c>
      <c r="M71" s="134">
        <f t="shared" si="30"/>
        <v>0</v>
      </c>
      <c r="N71" s="134">
        <f t="shared" si="30"/>
        <v>0</v>
      </c>
      <c r="O71" s="134">
        <f t="shared" si="30"/>
        <v>0</v>
      </c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</row>
    <row r="72" spans="3:132" ht="12.75">
      <c r="C72" s="138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</row>
    <row r="73" spans="3:132" ht="12.75">
      <c r="C73" s="138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</row>
    <row r="74" spans="1:132" ht="12.75">
      <c r="A74" s="509" t="s">
        <v>312</v>
      </c>
      <c r="B74" s="146" t="str">
        <f>VLOOKUP(A74,Справочники!$B:$F,3,FALSE)</f>
        <v>Единый социальный налог</v>
      </c>
      <c r="C74" s="114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</row>
    <row r="75" spans="1:132" s="127" customFormat="1" ht="11.25">
      <c r="A75" s="504" t="s">
        <v>240</v>
      </c>
      <c r="C75" s="128"/>
      <c r="D75" s="129">
        <v>0</v>
      </c>
      <c r="E75" s="129">
        <f aca="true" t="shared" si="31" ref="E75:O75">D75</f>
        <v>0</v>
      </c>
      <c r="F75" s="129">
        <f t="shared" si="31"/>
        <v>0</v>
      </c>
      <c r="G75" s="129">
        <f t="shared" si="31"/>
        <v>0</v>
      </c>
      <c r="H75" s="129">
        <f t="shared" si="31"/>
        <v>0</v>
      </c>
      <c r="I75" s="129">
        <f t="shared" si="31"/>
        <v>0</v>
      </c>
      <c r="J75" s="129">
        <f t="shared" si="31"/>
        <v>0</v>
      </c>
      <c r="K75" s="129">
        <f t="shared" si="31"/>
        <v>0</v>
      </c>
      <c r="L75" s="129">
        <f t="shared" si="31"/>
        <v>0</v>
      </c>
      <c r="M75" s="129">
        <f t="shared" si="31"/>
        <v>0</v>
      </c>
      <c r="N75" s="129">
        <f t="shared" si="31"/>
        <v>0</v>
      </c>
      <c r="O75" s="129">
        <f t="shared" si="31"/>
        <v>0</v>
      </c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</row>
    <row r="76" spans="1:132" ht="12.75">
      <c r="A76" s="145" t="s">
        <v>163</v>
      </c>
      <c r="C76" s="114"/>
      <c r="D76" s="115">
        <f aca="true" t="shared" si="32" ref="D76:O76">C79</f>
        <v>1260.7944732297065</v>
      </c>
      <c r="E76" s="115">
        <f t="shared" si="32"/>
        <v>0</v>
      </c>
      <c r="F76" s="115">
        <f t="shared" si="32"/>
        <v>0</v>
      </c>
      <c r="G76" s="115">
        <f t="shared" si="32"/>
        <v>0</v>
      </c>
      <c r="H76" s="115">
        <f t="shared" si="32"/>
        <v>0</v>
      </c>
      <c r="I76" s="115">
        <f t="shared" si="32"/>
        <v>0</v>
      </c>
      <c r="J76" s="115">
        <f t="shared" si="32"/>
        <v>0</v>
      </c>
      <c r="K76" s="115">
        <f t="shared" si="32"/>
        <v>0</v>
      </c>
      <c r="L76" s="115">
        <f t="shared" si="32"/>
        <v>0</v>
      </c>
      <c r="M76" s="115">
        <f t="shared" si="32"/>
        <v>0</v>
      </c>
      <c r="N76" s="115">
        <f t="shared" si="32"/>
        <v>0</v>
      </c>
      <c r="O76" s="115">
        <f t="shared" si="32"/>
        <v>0</v>
      </c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</row>
    <row r="77" spans="2:132" ht="12.75">
      <c r="B77" s="105" t="s">
        <v>242</v>
      </c>
      <c r="C77" s="168"/>
      <c r="D77" s="115">
        <f>SUMIF('ОДР '!$C$32:$C$93,$B74,'ОДР '!D$32:D$93)</f>
        <v>26005.2</v>
      </c>
      <c r="E77" s="115">
        <f>SUMIF('ОДР '!$C$32:$C$93,$B74,'ОДР '!E$32:E$93)</f>
        <v>25205.04</v>
      </c>
      <c r="F77" s="115">
        <f>SUMIF('ОДР '!$C$32:$C$93,$B74,'ОДР '!F$32:F$93)</f>
        <v>10967.233333333334</v>
      </c>
      <c r="G77" s="115">
        <f>SUMIF('ОДР '!$C$32:$C$93,$B74,'ОДР '!G$32:G$93)</f>
        <v>10967.233333333334</v>
      </c>
      <c r="H77" s="115">
        <f>SUMIF('ОДР '!$C$32:$C$93,$B74,'ОДР '!H$32:H$93)</f>
        <v>53843.58333333333</v>
      </c>
      <c r="I77" s="115">
        <f>SUMIF('ОДР '!$C$32:$C$93,$B74,'ОДР '!I$32:I$93)</f>
        <v>59081.40833333333</v>
      </c>
      <c r="J77" s="115">
        <f>SUMIF('ОДР '!$C$32:$C$93,$B74,'ОДР '!J$32:J$93)</f>
        <v>64843.01583333334</v>
      </c>
      <c r="K77" s="115">
        <f>SUMIF('ОДР '!$C$32:$C$93,$B74,'ОДР '!K$32:K$93)</f>
        <v>71180.78408333333</v>
      </c>
      <c r="L77" s="115">
        <f>SUMIF('ОДР '!$C$32:$C$93,$B74,'ОДР '!L$32:L$93)</f>
        <v>71180.78408333333</v>
      </c>
      <c r="M77" s="115">
        <f>SUMIF('ОДР '!$C$32:$C$93,$B74,'ОДР '!M$32:M$93)</f>
        <v>71180.78408333333</v>
      </c>
      <c r="N77" s="115">
        <f>SUMIF('ОДР '!$C$32:$C$93,$B74,'ОДР '!N$32:N$93)</f>
        <v>71180.78408333333</v>
      </c>
      <c r="O77" s="115">
        <f>SUMIF('ОДР '!$C$32:$C$93,$B74,'ОДР '!O$32:O$93)</f>
        <v>71180.78408333333</v>
      </c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</row>
    <row r="78" spans="2:132" ht="12.75">
      <c r="B78" s="105" t="s">
        <v>206</v>
      </c>
      <c r="C78" s="114"/>
      <c r="D78" s="115">
        <f aca="true" t="shared" si="33" ref="D78:O78">-C79-D77+D79</f>
        <v>-27265.994473229708</v>
      </c>
      <c r="E78" s="115">
        <f t="shared" si="33"/>
        <v>-25205.04</v>
      </c>
      <c r="F78" s="115">
        <f t="shared" si="33"/>
        <v>-10967.233333333334</v>
      </c>
      <c r="G78" s="115">
        <f t="shared" si="33"/>
        <v>-10967.233333333334</v>
      </c>
      <c r="H78" s="115">
        <f t="shared" si="33"/>
        <v>-53843.58333333333</v>
      </c>
      <c r="I78" s="115">
        <f t="shared" si="33"/>
        <v>-59081.40833333333</v>
      </c>
      <c r="J78" s="115">
        <f t="shared" si="33"/>
        <v>-64843.01583333334</v>
      </c>
      <c r="K78" s="115">
        <f t="shared" si="33"/>
        <v>-71180.78408333333</v>
      </c>
      <c r="L78" s="115">
        <f t="shared" si="33"/>
        <v>-71180.78408333333</v>
      </c>
      <c r="M78" s="115">
        <f t="shared" si="33"/>
        <v>-71180.78408333333</v>
      </c>
      <c r="N78" s="115">
        <f t="shared" si="33"/>
        <v>-71180.78408333333</v>
      </c>
      <c r="O78" s="115">
        <f t="shared" si="33"/>
        <v>-71180.78408333333</v>
      </c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</row>
    <row r="79" spans="1:132" ht="12.75">
      <c r="A79" s="505" t="s">
        <v>164</v>
      </c>
      <c r="B79" s="132"/>
      <c r="C79" s="290">
        <f>Налоги!C19</f>
        <v>1260.7944732297065</v>
      </c>
      <c r="D79" s="134">
        <f>(C77+D77)/365*D75</f>
        <v>0</v>
      </c>
      <c r="E79" s="134">
        <f aca="true" t="shared" si="34" ref="E79:O79">(D77+E77)/365*E75</f>
        <v>0</v>
      </c>
      <c r="F79" s="134">
        <f t="shared" si="34"/>
        <v>0</v>
      </c>
      <c r="G79" s="134">
        <f t="shared" si="34"/>
        <v>0</v>
      </c>
      <c r="H79" s="134">
        <f t="shared" si="34"/>
        <v>0</v>
      </c>
      <c r="I79" s="134">
        <f t="shared" si="34"/>
        <v>0</v>
      </c>
      <c r="J79" s="134">
        <f t="shared" si="34"/>
        <v>0</v>
      </c>
      <c r="K79" s="134">
        <f t="shared" si="34"/>
        <v>0</v>
      </c>
      <c r="L79" s="134">
        <f t="shared" si="34"/>
        <v>0</v>
      </c>
      <c r="M79" s="134">
        <f t="shared" si="34"/>
        <v>0</v>
      </c>
      <c r="N79" s="134">
        <f t="shared" si="34"/>
        <v>0</v>
      </c>
      <c r="O79" s="134">
        <f t="shared" si="34"/>
        <v>0</v>
      </c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</row>
    <row r="80" spans="3:132" ht="12.75">
      <c r="C80" s="138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</row>
    <row r="81" spans="3:132" ht="12.75">
      <c r="C81" s="138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</row>
    <row r="82" spans="1:132" ht="12.75">
      <c r="A82" s="503" t="s">
        <v>317</v>
      </c>
      <c r="B82" s="146" t="str">
        <f>VLOOKUP(A82,Справочники!$B:$F,3,FALSE)</f>
        <v>Услуги сторонних организаций</v>
      </c>
      <c r="C82" s="13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</row>
    <row r="83" spans="1:132" s="127" customFormat="1" ht="11.25">
      <c r="A83" s="504" t="s">
        <v>240</v>
      </c>
      <c r="C83" s="128"/>
      <c r="D83" s="129">
        <v>0</v>
      </c>
      <c r="E83" s="129">
        <f aca="true" t="shared" si="35" ref="E83:O83">D83</f>
        <v>0</v>
      </c>
      <c r="F83" s="129">
        <f t="shared" si="35"/>
        <v>0</v>
      </c>
      <c r="G83" s="129">
        <f t="shared" si="35"/>
        <v>0</v>
      </c>
      <c r="H83" s="129">
        <f t="shared" si="35"/>
        <v>0</v>
      </c>
      <c r="I83" s="129">
        <f t="shared" si="35"/>
        <v>0</v>
      </c>
      <c r="J83" s="129">
        <f t="shared" si="35"/>
        <v>0</v>
      </c>
      <c r="K83" s="129">
        <f t="shared" si="35"/>
        <v>0</v>
      </c>
      <c r="L83" s="129">
        <f t="shared" si="35"/>
        <v>0</v>
      </c>
      <c r="M83" s="129">
        <f t="shared" si="35"/>
        <v>0</v>
      </c>
      <c r="N83" s="129">
        <f t="shared" si="35"/>
        <v>0</v>
      </c>
      <c r="O83" s="129">
        <f t="shared" si="35"/>
        <v>0</v>
      </c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</row>
    <row r="84" spans="1:132" ht="12.75">
      <c r="A84" s="145" t="s">
        <v>163</v>
      </c>
      <c r="C84" s="114"/>
      <c r="D84" s="115">
        <f aca="true" t="shared" si="36" ref="D84:O84">C87</f>
        <v>2417.9620034542313</v>
      </c>
      <c r="E84" s="115">
        <f t="shared" si="36"/>
        <v>0</v>
      </c>
      <c r="F84" s="115">
        <f t="shared" si="36"/>
        <v>0</v>
      </c>
      <c r="G84" s="115">
        <f t="shared" si="36"/>
        <v>0</v>
      </c>
      <c r="H84" s="115">
        <f t="shared" si="36"/>
        <v>0</v>
      </c>
      <c r="I84" s="115">
        <f t="shared" si="36"/>
        <v>0</v>
      </c>
      <c r="J84" s="115">
        <f t="shared" si="36"/>
        <v>0</v>
      </c>
      <c r="K84" s="115">
        <f t="shared" si="36"/>
        <v>0</v>
      </c>
      <c r="L84" s="115">
        <f t="shared" si="36"/>
        <v>0</v>
      </c>
      <c r="M84" s="115">
        <f t="shared" si="36"/>
        <v>0</v>
      </c>
      <c r="N84" s="115">
        <f t="shared" si="36"/>
        <v>0</v>
      </c>
      <c r="O84" s="115">
        <f t="shared" si="36"/>
        <v>0</v>
      </c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</row>
    <row r="85" spans="2:132" ht="12.75">
      <c r="B85" s="105" t="s">
        <v>241</v>
      </c>
      <c r="C85" s="168"/>
      <c r="D85" s="486">
        <f>SUMIF('ОДР '!$C$10:$C$93,$B82,'ОДР '!D$10:D$93)*(1+Параметры!D$38)</f>
        <v>83765.84</v>
      </c>
      <c r="E85" s="486">
        <f>SUMIF('ОДР '!$C$10:$C$93,$B82,'ОДР '!E$10:E$93)*(1+Параметры!E$38)</f>
        <v>71021.84</v>
      </c>
      <c r="F85" s="486">
        <f>SUMIF('ОДР '!$C$10:$C$93,$B82,'ОДР '!F$10:F$93)*(1+Параметры!F$38)</f>
        <v>106421.84</v>
      </c>
      <c r="G85" s="486">
        <f>SUMIF('ОДР '!$C$10:$C$93,$B82,'ОДР '!G$10:G$93)*(1+Параметры!G$38)</f>
        <v>106421.84</v>
      </c>
      <c r="H85" s="486">
        <f>SUMIF('ОДР '!$C$10:$C$93,$B82,'ОДР '!H$10:H$93)*(1+Параметры!H$38)</f>
        <v>662580.78</v>
      </c>
      <c r="I85" s="486">
        <f>SUMIF('ОДР '!$C$10:$C$93,$B82,'ОДР '!I$10:I$93)*(1+Параметры!I$38)</f>
        <v>757982.9</v>
      </c>
      <c r="J85" s="486">
        <f>SUMIF('ОДР '!$C$10:$C$93,$B82,'ОДР '!J$10:J$93)*(1+Параметры!J$38)</f>
        <v>887826.125</v>
      </c>
      <c r="K85" s="486">
        <f>SUMIF('ОДР '!$C$10:$C$93,$B82,'ОДР '!K$10:K$93)*(1+Параметры!K$38)</f>
        <v>529247.99125</v>
      </c>
      <c r="L85" s="486">
        <f>SUMIF('ОДР '!$C$10:$C$93,$B82,'ОДР '!L$10:L$93)*(1+Параметры!L$38)</f>
        <v>97280.00000000001</v>
      </c>
      <c r="M85" s="486">
        <f>SUMIF('ОДР '!$C$10:$C$93,$B82,'ОДР '!M$10:M$93)*(1+Параметры!M$38)</f>
        <v>0</v>
      </c>
      <c r="N85" s="486">
        <f>SUMIF('ОДР '!$C$10:$C$93,$B82,'ОДР '!N$10:N$93)*(1+Параметры!N$38)</f>
        <v>0</v>
      </c>
      <c r="O85" s="486">
        <f>SUMIF('ОДР '!$C$10:$C$93,$B82,'ОДР '!O$10:O$93)*(1+Параметры!O$38)</f>
        <v>0</v>
      </c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</row>
    <row r="86" spans="2:132" ht="12.75">
      <c r="B86" s="105" t="s">
        <v>456</v>
      </c>
      <c r="C86" s="114"/>
      <c r="D86" s="115">
        <f aca="true" t="shared" si="37" ref="D86:O86">-C87-D85+D87</f>
        <v>-86183.80200345423</v>
      </c>
      <c r="E86" s="115">
        <f t="shared" si="37"/>
        <v>-71021.84</v>
      </c>
      <c r="F86" s="115">
        <f t="shared" si="37"/>
        <v>-106421.84</v>
      </c>
      <c r="G86" s="115">
        <f t="shared" si="37"/>
        <v>-106421.84</v>
      </c>
      <c r="H86" s="115">
        <f t="shared" si="37"/>
        <v>-662580.78</v>
      </c>
      <c r="I86" s="115">
        <f t="shared" si="37"/>
        <v>-757982.9</v>
      </c>
      <c r="J86" s="115">
        <f t="shared" si="37"/>
        <v>-887826.125</v>
      </c>
      <c r="K86" s="115">
        <f t="shared" si="37"/>
        <v>-529247.99125</v>
      </c>
      <c r="L86" s="115">
        <f t="shared" si="37"/>
        <v>-97280.00000000001</v>
      </c>
      <c r="M86" s="115">
        <f t="shared" si="37"/>
        <v>0</v>
      </c>
      <c r="N86" s="115">
        <f t="shared" si="37"/>
        <v>0</v>
      </c>
      <c r="O86" s="115">
        <f t="shared" si="37"/>
        <v>0</v>
      </c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</row>
    <row r="87" spans="1:132" ht="12.75">
      <c r="A87" s="505" t="s">
        <v>164</v>
      </c>
      <c r="B87" s="132"/>
      <c r="C87" s="133">
        <f>70000/Параметры!C14</f>
        <v>2417.9620034542313</v>
      </c>
      <c r="D87" s="134">
        <f>(C85+D85)/365*D83</f>
        <v>0</v>
      </c>
      <c r="E87" s="134">
        <f aca="true" t="shared" si="38" ref="E87:O87">(D85+E85)/365*E83</f>
        <v>0</v>
      </c>
      <c r="F87" s="134">
        <f t="shared" si="38"/>
        <v>0</v>
      </c>
      <c r="G87" s="134">
        <f t="shared" si="38"/>
        <v>0</v>
      </c>
      <c r="H87" s="134">
        <f t="shared" si="38"/>
        <v>0</v>
      </c>
      <c r="I87" s="134">
        <f t="shared" si="38"/>
        <v>0</v>
      </c>
      <c r="J87" s="134">
        <f t="shared" si="38"/>
        <v>0</v>
      </c>
      <c r="K87" s="134">
        <f t="shared" si="38"/>
        <v>0</v>
      </c>
      <c r="L87" s="134">
        <f t="shared" si="38"/>
        <v>0</v>
      </c>
      <c r="M87" s="134">
        <f t="shared" si="38"/>
        <v>0</v>
      </c>
      <c r="N87" s="134">
        <f t="shared" si="38"/>
        <v>0</v>
      </c>
      <c r="O87" s="134">
        <f t="shared" si="38"/>
        <v>0</v>
      </c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</row>
    <row r="88" spans="3:132" ht="12.75"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</row>
    <row r="89" spans="3:132" ht="12.75">
      <c r="C89" s="114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</row>
    <row r="90" spans="1:132" ht="12.75">
      <c r="A90" s="503" t="s">
        <v>110</v>
      </c>
      <c r="B90" s="146" t="str">
        <f>VLOOKUP(A90,Справочники!$B:$F,3,FALSE)</f>
        <v>Социальные расходы и расходы на развитие персонала</v>
      </c>
      <c r="C90" s="13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</row>
    <row r="91" spans="1:132" s="127" customFormat="1" ht="11.25">
      <c r="A91" s="504" t="s">
        <v>240</v>
      </c>
      <c r="C91" s="128"/>
      <c r="D91" s="171">
        <v>0</v>
      </c>
      <c r="E91" s="171">
        <f aca="true" t="shared" si="39" ref="E91:O91">D91</f>
        <v>0</v>
      </c>
      <c r="F91" s="171">
        <f t="shared" si="39"/>
        <v>0</v>
      </c>
      <c r="G91" s="171">
        <f t="shared" si="39"/>
        <v>0</v>
      </c>
      <c r="H91" s="171">
        <f t="shared" si="39"/>
        <v>0</v>
      </c>
      <c r="I91" s="171">
        <f t="shared" si="39"/>
        <v>0</v>
      </c>
      <c r="J91" s="171">
        <f t="shared" si="39"/>
        <v>0</v>
      </c>
      <c r="K91" s="171">
        <f t="shared" si="39"/>
        <v>0</v>
      </c>
      <c r="L91" s="171">
        <f t="shared" si="39"/>
        <v>0</v>
      </c>
      <c r="M91" s="171">
        <f t="shared" si="39"/>
        <v>0</v>
      </c>
      <c r="N91" s="171">
        <f t="shared" si="39"/>
        <v>0</v>
      </c>
      <c r="O91" s="171">
        <f t="shared" si="39"/>
        <v>0</v>
      </c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B91" s="130"/>
    </row>
    <row r="92" spans="1:132" ht="12.75">
      <c r="A92" s="145" t="s">
        <v>163</v>
      </c>
      <c r="C92" s="114"/>
      <c r="D92" s="115">
        <f aca="true" t="shared" si="40" ref="D92:O92">C95</f>
        <v>0</v>
      </c>
      <c r="E92" s="115">
        <f t="shared" si="40"/>
        <v>0</v>
      </c>
      <c r="F92" s="115">
        <f t="shared" si="40"/>
        <v>0</v>
      </c>
      <c r="G92" s="115">
        <f t="shared" si="40"/>
        <v>0</v>
      </c>
      <c r="H92" s="115">
        <f t="shared" si="40"/>
        <v>0</v>
      </c>
      <c r="I92" s="115">
        <f t="shared" si="40"/>
        <v>0</v>
      </c>
      <c r="J92" s="115">
        <f t="shared" si="40"/>
        <v>0</v>
      </c>
      <c r="K92" s="115">
        <f t="shared" si="40"/>
        <v>0</v>
      </c>
      <c r="L92" s="115">
        <f t="shared" si="40"/>
        <v>0</v>
      </c>
      <c r="M92" s="115">
        <f t="shared" si="40"/>
        <v>0</v>
      </c>
      <c r="N92" s="115">
        <f t="shared" si="40"/>
        <v>0</v>
      </c>
      <c r="O92" s="115">
        <f t="shared" si="40"/>
        <v>0</v>
      </c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</row>
    <row r="93" spans="2:132" ht="12.75">
      <c r="B93" s="105" t="s">
        <v>242</v>
      </c>
      <c r="C93" s="168">
        <v>0</v>
      </c>
      <c r="D93" s="486">
        <f>SUMIF('ОДР '!$C$10:$C$93,$B90,'ОДР '!D$10:D$93)</f>
        <v>1860</v>
      </c>
      <c r="E93" s="486">
        <f>SUMIF('ОДР '!$C$10:$C$93,$B90,'ОДР '!E$10:E$93)</f>
        <v>1860</v>
      </c>
      <c r="F93" s="486">
        <f>SUMIF('ОДР '!$C$10:$C$93,$B90,'ОДР '!F$10:F$93)</f>
        <v>450</v>
      </c>
      <c r="G93" s="486">
        <f>SUMIF('ОДР '!$C$10:$C$93,$B90,'ОДР '!G$10:G$93)</f>
        <v>4950</v>
      </c>
      <c r="H93" s="486">
        <f>SUMIF('ОДР '!$C$10:$C$93,$B90,'ОДР '!H$10:H$93)</f>
        <v>7500</v>
      </c>
      <c r="I93" s="486">
        <f>SUMIF('ОДР '!$C$10:$C$93,$B90,'ОДР '!I$10:I$93)</f>
        <v>8000</v>
      </c>
      <c r="J93" s="486">
        <f>SUMIF('ОДР '!$C$10:$C$93,$B90,'ОДР '!J$10:J$93)</f>
        <v>9000</v>
      </c>
      <c r="K93" s="486">
        <f>SUMIF('ОДР '!$C$10:$C$93,$B90,'ОДР '!K$10:K$93)</f>
        <v>9500</v>
      </c>
      <c r="L93" s="486">
        <f>SUMIF('ОДР '!$C$10:$C$93,$B90,'ОДР '!L$10:L$93)</f>
        <v>0</v>
      </c>
      <c r="M93" s="486">
        <f>SUMIF('ОДР '!$C$10:$C$93,$B90,'ОДР '!M$10:M$93)</f>
        <v>0</v>
      </c>
      <c r="N93" s="486">
        <f>SUMIF('ОДР '!$C$10:$C$93,$B90,'ОДР '!N$10:N$93)</f>
        <v>0</v>
      </c>
      <c r="O93" s="486">
        <f>SUMIF('ОДР '!$C$10:$C$93,$B90,'ОДР '!O$10:O$93)</f>
        <v>0</v>
      </c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</row>
    <row r="94" spans="2:132" ht="12.75">
      <c r="B94" s="105" t="s">
        <v>206</v>
      </c>
      <c r="C94" s="114"/>
      <c r="D94" s="115">
        <f aca="true" t="shared" si="41" ref="D94:O94">-C95-D93+D95</f>
        <v>-1860</v>
      </c>
      <c r="E94" s="115">
        <f t="shared" si="41"/>
        <v>-1860</v>
      </c>
      <c r="F94" s="115">
        <f t="shared" si="41"/>
        <v>-450</v>
      </c>
      <c r="G94" s="115">
        <f t="shared" si="41"/>
        <v>-4950</v>
      </c>
      <c r="H94" s="115">
        <f t="shared" si="41"/>
        <v>-7500</v>
      </c>
      <c r="I94" s="115">
        <f t="shared" si="41"/>
        <v>-8000</v>
      </c>
      <c r="J94" s="115">
        <f t="shared" si="41"/>
        <v>-9000</v>
      </c>
      <c r="K94" s="115">
        <f t="shared" si="41"/>
        <v>-9500</v>
      </c>
      <c r="L94" s="115">
        <f t="shared" si="41"/>
        <v>0</v>
      </c>
      <c r="M94" s="115">
        <f t="shared" si="41"/>
        <v>0</v>
      </c>
      <c r="N94" s="115">
        <f t="shared" si="41"/>
        <v>0</v>
      </c>
      <c r="O94" s="115">
        <f t="shared" si="41"/>
        <v>0</v>
      </c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</row>
    <row r="95" spans="1:132" ht="12.75">
      <c r="A95" s="505" t="s">
        <v>164</v>
      </c>
      <c r="B95" s="132"/>
      <c r="C95" s="133">
        <v>0</v>
      </c>
      <c r="D95" s="134">
        <f>(C93+D93)/365*D91</f>
        <v>0</v>
      </c>
      <c r="E95" s="134">
        <f aca="true" t="shared" si="42" ref="E95:O95">(D93+E93)/365*E91</f>
        <v>0</v>
      </c>
      <c r="F95" s="134">
        <f t="shared" si="42"/>
        <v>0</v>
      </c>
      <c r="G95" s="134">
        <f t="shared" si="42"/>
        <v>0</v>
      </c>
      <c r="H95" s="134">
        <f t="shared" si="42"/>
        <v>0</v>
      </c>
      <c r="I95" s="134">
        <f t="shared" si="42"/>
        <v>0</v>
      </c>
      <c r="J95" s="134">
        <f t="shared" si="42"/>
        <v>0</v>
      </c>
      <c r="K95" s="134">
        <f t="shared" si="42"/>
        <v>0</v>
      </c>
      <c r="L95" s="134">
        <f t="shared" si="42"/>
        <v>0</v>
      </c>
      <c r="M95" s="134">
        <f t="shared" si="42"/>
        <v>0</v>
      </c>
      <c r="N95" s="134">
        <f t="shared" si="42"/>
        <v>0</v>
      </c>
      <c r="O95" s="134">
        <f t="shared" si="42"/>
        <v>0</v>
      </c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</row>
    <row r="96" spans="1:132" s="136" customFormat="1" ht="12.75">
      <c r="A96" s="544"/>
      <c r="C96" s="138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  <c r="DV96" s="140"/>
      <c r="DW96" s="140"/>
      <c r="DX96" s="140"/>
      <c r="DY96" s="140"/>
      <c r="DZ96" s="140"/>
      <c r="EA96" s="140"/>
      <c r="EB96" s="140"/>
    </row>
    <row r="97" spans="1:132" s="136" customFormat="1" ht="12.75">
      <c r="A97" s="544"/>
      <c r="C97" s="138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</row>
    <row r="98" spans="1:132" ht="12.75">
      <c r="A98" s="503" t="s">
        <v>115</v>
      </c>
      <c r="B98" s="146" t="str">
        <f>VLOOKUP(A98,Справочники!$B:$F,3,FALSE)</f>
        <v>Прочие расходы</v>
      </c>
      <c r="C98" s="13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</row>
    <row r="99" spans="1:132" s="127" customFormat="1" ht="11.25">
      <c r="A99" s="504" t="s">
        <v>240</v>
      </c>
      <c r="C99" s="128"/>
      <c r="D99" s="129">
        <v>0</v>
      </c>
      <c r="E99" s="129">
        <f aca="true" t="shared" si="43" ref="E99:O99">D99</f>
        <v>0</v>
      </c>
      <c r="F99" s="129">
        <f t="shared" si="43"/>
        <v>0</v>
      </c>
      <c r="G99" s="129">
        <f t="shared" si="43"/>
        <v>0</v>
      </c>
      <c r="H99" s="129">
        <f t="shared" si="43"/>
        <v>0</v>
      </c>
      <c r="I99" s="129">
        <f t="shared" si="43"/>
        <v>0</v>
      </c>
      <c r="J99" s="129">
        <f t="shared" si="43"/>
        <v>0</v>
      </c>
      <c r="K99" s="129">
        <f t="shared" si="43"/>
        <v>0</v>
      </c>
      <c r="L99" s="129">
        <f t="shared" si="43"/>
        <v>0</v>
      </c>
      <c r="M99" s="129">
        <f t="shared" si="43"/>
        <v>0</v>
      </c>
      <c r="N99" s="129">
        <f t="shared" si="43"/>
        <v>0</v>
      </c>
      <c r="O99" s="129">
        <f t="shared" si="43"/>
        <v>0</v>
      </c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</row>
    <row r="100" spans="1:132" ht="12.75">
      <c r="A100" s="145" t="s">
        <v>163</v>
      </c>
      <c r="C100" s="114"/>
      <c r="D100" s="115">
        <f aca="true" t="shared" si="44" ref="D100:O100">C103</f>
        <v>0</v>
      </c>
      <c r="E100" s="115">
        <f t="shared" si="44"/>
        <v>0</v>
      </c>
      <c r="F100" s="115">
        <f t="shared" si="44"/>
        <v>0</v>
      </c>
      <c r="G100" s="115">
        <f t="shared" si="44"/>
        <v>0</v>
      </c>
      <c r="H100" s="115">
        <f t="shared" si="44"/>
        <v>0</v>
      </c>
      <c r="I100" s="115">
        <f t="shared" si="44"/>
        <v>0</v>
      </c>
      <c r="J100" s="115">
        <f t="shared" si="44"/>
        <v>0</v>
      </c>
      <c r="K100" s="115">
        <f t="shared" si="44"/>
        <v>0</v>
      </c>
      <c r="L100" s="115">
        <f t="shared" si="44"/>
        <v>0</v>
      </c>
      <c r="M100" s="115">
        <f t="shared" si="44"/>
        <v>0</v>
      </c>
      <c r="N100" s="115">
        <f t="shared" si="44"/>
        <v>0</v>
      </c>
      <c r="O100" s="115">
        <f t="shared" si="44"/>
        <v>0</v>
      </c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</row>
    <row r="101" spans="2:132" ht="12.75">
      <c r="B101" s="105" t="s">
        <v>241</v>
      </c>
      <c r="C101" s="168"/>
      <c r="D101" s="486">
        <f>SUMIF('ОДР '!$C$10:$C$93,$B98,'ОДР '!D$10:D$93)*(1+Параметры!D$38)</f>
        <v>10620</v>
      </c>
      <c r="E101" s="486">
        <f>SUMIF('ОДР '!$C$10:$C$93,$B98,'ОДР '!E$10:E$93)*(1+Параметры!E$38)</f>
        <v>11800</v>
      </c>
      <c r="F101" s="486">
        <f>SUMIF('ОДР '!$C$10:$C$93,$B98,'ОДР '!F$10:F$93)*(1+Параметры!F$38)</f>
        <v>16520</v>
      </c>
      <c r="G101" s="486">
        <f>SUMIF('ОДР '!$C$10:$C$93,$B98,'ОДР '!G$10:G$93)*(1+Параметры!G$38)</f>
        <v>27140</v>
      </c>
      <c r="H101" s="486">
        <f>SUMIF('ОДР '!$C$10:$C$93,$B98,'ОДР '!H$10:H$93)*(1+Параметры!H$38)</f>
        <v>106200</v>
      </c>
      <c r="I101" s="486">
        <f>SUMIF('ОДР '!$C$10:$C$93,$B98,'ОДР '!I$10:I$93)*(1+Параметры!I$38)</f>
        <v>118000</v>
      </c>
      <c r="J101" s="486">
        <f>SUMIF('ОДР '!$C$10:$C$93,$B98,'ОДР '!J$10:J$93)*(1+Параметры!J$38)</f>
        <v>130390</v>
      </c>
      <c r="K101" s="486">
        <f>SUMIF('ОДР '!$C$10:$C$93,$B98,'ОДР '!K$10:K$93)*(1+Параметры!K$38)</f>
        <v>78529</v>
      </c>
      <c r="L101" s="486">
        <f>SUMIF('ОДР '!$C$10:$C$93,$B98,'ОДР '!L$10:L$93)*(1+Параметры!L$38)</f>
        <v>0</v>
      </c>
      <c r="M101" s="486">
        <f>SUMIF('ОДР '!$C$10:$C$93,$B98,'ОДР '!M$10:M$93)*(1+Параметры!M$38)</f>
        <v>0</v>
      </c>
      <c r="N101" s="486">
        <f>SUMIF('ОДР '!$C$10:$C$93,$B98,'ОДР '!N$10:N$93)*(1+Параметры!N$38)</f>
        <v>0</v>
      </c>
      <c r="O101" s="486">
        <f>SUMIF('ОДР '!$C$10:$C$93,$B98,'ОДР '!O$10:O$93)*(1+Параметры!O$38)</f>
        <v>0</v>
      </c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</row>
    <row r="102" spans="2:132" ht="12.75">
      <c r="B102" s="105" t="s">
        <v>456</v>
      </c>
      <c r="C102" s="114"/>
      <c r="D102" s="115">
        <f aca="true" t="shared" si="45" ref="D102:O102">-C103-D101+D103</f>
        <v>-10620</v>
      </c>
      <c r="E102" s="115">
        <f t="shared" si="45"/>
        <v>-11800</v>
      </c>
      <c r="F102" s="115">
        <f t="shared" si="45"/>
        <v>-16520</v>
      </c>
      <c r="G102" s="115">
        <f t="shared" si="45"/>
        <v>-27140</v>
      </c>
      <c r="H102" s="115">
        <f t="shared" si="45"/>
        <v>-106200</v>
      </c>
      <c r="I102" s="115">
        <f t="shared" si="45"/>
        <v>-118000</v>
      </c>
      <c r="J102" s="115">
        <f t="shared" si="45"/>
        <v>-130390</v>
      </c>
      <c r="K102" s="115">
        <f t="shared" si="45"/>
        <v>-78529</v>
      </c>
      <c r="L102" s="115">
        <f t="shared" si="45"/>
        <v>0</v>
      </c>
      <c r="M102" s="115">
        <f t="shared" si="45"/>
        <v>0</v>
      </c>
      <c r="N102" s="115">
        <f t="shared" si="45"/>
        <v>0</v>
      </c>
      <c r="O102" s="115">
        <f t="shared" si="45"/>
        <v>0</v>
      </c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</row>
    <row r="103" spans="1:132" ht="12.75">
      <c r="A103" s="505" t="s">
        <v>164</v>
      </c>
      <c r="B103" s="132"/>
      <c r="C103" s="133"/>
      <c r="D103" s="134">
        <f>(C101+D101)/365*D99</f>
        <v>0</v>
      </c>
      <c r="E103" s="134">
        <f aca="true" t="shared" si="46" ref="E103:O103">(D101+E101)/365*E99</f>
        <v>0</v>
      </c>
      <c r="F103" s="134">
        <f t="shared" si="46"/>
        <v>0</v>
      </c>
      <c r="G103" s="134">
        <f t="shared" si="46"/>
        <v>0</v>
      </c>
      <c r="H103" s="134">
        <f t="shared" si="46"/>
        <v>0</v>
      </c>
      <c r="I103" s="134">
        <f t="shared" si="46"/>
        <v>0</v>
      </c>
      <c r="J103" s="134">
        <f t="shared" si="46"/>
        <v>0</v>
      </c>
      <c r="K103" s="134">
        <f t="shared" si="46"/>
        <v>0</v>
      </c>
      <c r="L103" s="134">
        <f t="shared" si="46"/>
        <v>0</v>
      </c>
      <c r="M103" s="134">
        <f t="shared" si="46"/>
        <v>0</v>
      </c>
      <c r="N103" s="134">
        <f t="shared" si="46"/>
        <v>0</v>
      </c>
      <c r="O103" s="134">
        <f t="shared" si="46"/>
        <v>0</v>
      </c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</row>
    <row r="104" spans="3:132" ht="12.75">
      <c r="C104" s="138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</row>
    <row r="105" spans="3:132" ht="12.75">
      <c r="C105" s="138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6"/>
    </row>
    <row r="106" spans="1:132" ht="12.75">
      <c r="A106" s="503" t="s">
        <v>11</v>
      </c>
      <c r="B106" s="146" t="str">
        <f>VLOOKUP(A106,Справочники!$B:$F,3,FALSE)</f>
        <v>Товары для перепродажи</v>
      </c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6"/>
    </row>
    <row r="107" spans="1:132" s="127" customFormat="1" ht="11.25">
      <c r="A107" s="504" t="s">
        <v>240</v>
      </c>
      <c r="C107" s="128"/>
      <c r="D107" s="129">
        <v>20</v>
      </c>
      <c r="E107" s="129">
        <f aca="true" t="shared" si="47" ref="E107:O107">D107</f>
        <v>20</v>
      </c>
      <c r="F107" s="129">
        <f t="shared" si="47"/>
        <v>20</v>
      </c>
      <c r="G107" s="129">
        <f t="shared" si="47"/>
        <v>20</v>
      </c>
      <c r="H107" s="129">
        <f t="shared" si="47"/>
        <v>20</v>
      </c>
      <c r="I107" s="129">
        <f t="shared" si="47"/>
        <v>20</v>
      </c>
      <c r="J107" s="129">
        <f t="shared" si="47"/>
        <v>20</v>
      </c>
      <c r="K107" s="129">
        <f t="shared" si="47"/>
        <v>20</v>
      </c>
      <c r="L107" s="129">
        <f t="shared" si="47"/>
        <v>20</v>
      </c>
      <c r="M107" s="129">
        <f t="shared" si="47"/>
        <v>20</v>
      </c>
      <c r="N107" s="129">
        <f t="shared" si="47"/>
        <v>20</v>
      </c>
      <c r="O107" s="129">
        <f t="shared" si="47"/>
        <v>20</v>
      </c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0"/>
      <c r="DE107" s="130"/>
      <c r="DF107" s="130"/>
      <c r="DG107" s="130"/>
      <c r="DH107" s="130"/>
      <c r="DI107" s="130"/>
      <c r="DJ107" s="130"/>
      <c r="DK107" s="130"/>
      <c r="DL107" s="130"/>
      <c r="DM107" s="130"/>
      <c r="DN107" s="130"/>
      <c r="DO107" s="130"/>
      <c r="DP107" s="130"/>
      <c r="DQ107" s="130"/>
      <c r="DR107" s="130"/>
      <c r="DS107" s="130"/>
      <c r="DT107" s="130"/>
      <c r="DU107" s="130"/>
      <c r="DV107" s="130"/>
      <c r="DW107" s="130"/>
      <c r="DX107" s="130"/>
      <c r="DY107" s="130"/>
      <c r="DZ107" s="130"/>
      <c r="EA107" s="130"/>
      <c r="EB107" s="130"/>
    </row>
    <row r="108" spans="1:132" ht="12.75">
      <c r="A108" s="145" t="s">
        <v>163</v>
      </c>
      <c r="C108" s="114"/>
      <c r="D108" s="115">
        <f aca="true" t="shared" si="48" ref="D108:O108">C111</f>
        <v>85578.58376511227</v>
      </c>
      <c r="E108" s="115">
        <f t="shared" si="48"/>
        <v>12448.38217995126</v>
      </c>
      <c r="F108" s="115">
        <f t="shared" si="48"/>
        <v>65396.760262143034</v>
      </c>
      <c r="G108" s="115">
        <f t="shared" si="48"/>
        <v>111699.76986301367</v>
      </c>
      <c r="H108" s="115">
        <f t="shared" si="48"/>
        <v>125268.15342465752</v>
      </c>
      <c r="I108" s="115">
        <f t="shared" si="48"/>
        <v>501269.63835616445</v>
      </c>
      <c r="J108" s="115">
        <f t="shared" si="48"/>
        <v>1225663.5616438356</v>
      </c>
      <c r="K108" s="115">
        <f t="shared" si="48"/>
        <v>1972647.6712328766</v>
      </c>
      <c r="L108" s="115">
        <f t="shared" si="48"/>
        <v>1224942.4657534247</v>
      </c>
      <c r="M108" s="115">
        <f t="shared" si="48"/>
        <v>70856.98630136986</v>
      </c>
      <c r="N108" s="115">
        <f t="shared" si="48"/>
        <v>27651.50684931507</v>
      </c>
      <c r="O108" s="115">
        <f t="shared" si="48"/>
        <v>0</v>
      </c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/>
      <c r="DZ108" s="116"/>
      <c r="EA108" s="116"/>
      <c r="EB108" s="116"/>
    </row>
    <row r="109" spans="2:132" ht="12.75">
      <c r="B109" s="105" t="s">
        <v>241</v>
      </c>
      <c r="C109" s="168"/>
      <c r="D109" s="138">
        <f>'План закупок '!E12*(1+Параметры!D$38)</f>
        <v>227182.9747841105</v>
      </c>
      <c r="E109" s="138">
        <f>'План закупок '!F12*(1+Параметры!E$38)</f>
        <v>966307.8999999999</v>
      </c>
      <c r="F109" s="138">
        <f>'План закупок '!G12*(1+Параметры!F$38)</f>
        <v>1072212.9</v>
      </c>
      <c r="G109" s="138">
        <f>'План закупок '!H12*(1+Параметры!G$38)</f>
        <v>1213930.9</v>
      </c>
      <c r="H109" s="138">
        <f>'План закупок '!I12*(1+Параметры!H$38)</f>
        <v>7934240</v>
      </c>
      <c r="I109" s="138">
        <f>'План закупок '!J12*(1+Параметры!I$38)</f>
        <v>14434120</v>
      </c>
      <c r="J109" s="138">
        <f>'План закупок '!K12*(1+Параметры!J$38)</f>
        <v>21566700</v>
      </c>
      <c r="K109" s="138">
        <f>'План закупок '!L12*(1+Параметры!K$38)</f>
        <v>788499.9999999999</v>
      </c>
      <c r="L109" s="138">
        <f>'План закупок '!M12*(1+Параметры!L$38)</f>
        <v>504640</v>
      </c>
      <c r="M109" s="138">
        <f>'План закупок '!N12*(1+Параметры!M$38)</f>
        <v>0</v>
      </c>
      <c r="N109" s="138">
        <f>'План закупок '!O12*(1+Параметры!N$38)</f>
        <v>0</v>
      </c>
      <c r="O109" s="138">
        <f>'План закупок '!P12*(1+Параметры!O$38)</f>
        <v>0</v>
      </c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  <c r="DK109" s="116"/>
      <c r="DL109" s="116"/>
      <c r="DM109" s="116"/>
      <c r="DN109" s="116"/>
      <c r="DO109" s="116"/>
      <c r="DP109" s="116"/>
      <c r="DQ109" s="116"/>
      <c r="DR109" s="116"/>
      <c r="DS109" s="116"/>
      <c r="DT109" s="116"/>
      <c r="DU109" s="116"/>
      <c r="DV109" s="116"/>
      <c r="DW109" s="116"/>
      <c r="DX109" s="116"/>
      <c r="DY109" s="116"/>
      <c r="DZ109" s="116"/>
      <c r="EA109" s="116"/>
      <c r="EB109" s="116"/>
    </row>
    <row r="110" spans="2:132" ht="12.75">
      <c r="B110" s="105" t="s">
        <v>456</v>
      </c>
      <c r="C110" s="114"/>
      <c r="D110" s="138">
        <f aca="true" t="shared" si="49" ref="D110:O110">-C111-D109+D111</f>
        <v>-300313.17636927153</v>
      </c>
      <c r="E110" s="138">
        <f t="shared" si="49"/>
        <v>-913359.5219178082</v>
      </c>
      <c r="F110" s="138">
        <f t="shared" si="49"/>
        <v>-1025909.8903991294</v>
      </c>
      <c r="G110" s="138">
        <f t="shared" si="49"/>
        <v>-1200362.5164383561</v>
      </c>
      <c r="H110" s="138">
        <f t="shared" si="49"/>
        <v>-7558238.515068494</v>
      </c>
      <c r="I110" s="138">
        <f t="shared" si="49"/>
        <v>-13709726.076712329</v>
      </c>
      <c r="J110" s="138">
        <f t="shared" si="49"/>
        <v>-20819715.89041096</v>
      </c>
      <c r="K110" s="138">
        <f t="shared" si="49"/>
        <v>-1536205.2054794517</v>
      </c>
      <c r="L110" s="138">
        <f t="shared" si="49"/>
        <v>-1658725.4794520547</v>
      </c>
      <c r="M110" s="138">
        <f t="shared" si="49"/>
        <v>-43205.479452054795</v>
      </c>
      <c r="N110" s="138">
        <f t="shared" si="49"/>
        <v>-27651.50684931507</v>
      </c>
      <c r="O110" s="138">
        <f t="shared" si="49"/>
        <v>0</v>
      </c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  <c r="DT110" s="116"/>
      <c r="DU110" s="116"/>
      <c r="DV110" s="116"/>
      <c r="DW110" s="116"/>
      <c r="DX110" s="116"/>
      <c r="DY110" s="116"/>
      <c r="DZ110" s="116"/>
      <c r="EA110" s="116"/>
      <c r="EB110" s="116"/>
    </row>
    <row r="111" spans="1:132" ht="12.75">
      <c r="A111" s="505" t="s">
        <v>164</v>
      </c>
      <c r="B111" s="1094"/>
      <c r="C111" s="133">
        <f>(977500+1500000)/Параметры!C14</f>
        <v>85578.58376511227</v>
      </c>
      <c r="D111" s="134">
        <f>(C109+D109)/365*D107</f>
        <v>12448.38217995126</v>
      </c>
      <c r="E111" s="290">
        <f aca="true" t="shared" si="50" ref="E111:O111">(D109+E109)/365*E107</f>
        <v>65396.760262143034</v>
      </c>
      <c r="F111" s="290">
        <f t="shared" si="50"/>
        <v>111699.76986301367</v>
      </c>
      <c r="G111" s="290">
        <f t="shared" si="50"/>
        <v>125268.15342465752</v>
      </c>
      <c r="H111" s="290">
        <f t="shared" si="50"/>
        <v>501269.63835616445</v>
      </c>
      <c r="I111" s="290">
        <f t="shared" si="50"/>
        <v>1225663.5616438356</v>
      </c>
      <c r="J111" s="290">
        <f t="shared" si="50"/>
        <v>1972647.6712328766</v>
      </c>
      <c r="K111" s="290">
        <f t="shared" si="50"/>
        <v>1224942.4657534247</v>
      </c>
      <c r="L111" s="290">
        <f t="shared" si="50"/>
        <v>70856.98630136986</v>
      </c>
      <c r="M111" s="290">
        <f t="shared" si="50"/>
        <v>27651.50684931507</v>
      </c>
      <c r="N111" s="290">
        <f t="shared" si="50"/>
        <v>0</v>
      </c>
      <c r="O111" s="290">
        <f t="shared" si="50"/>
        <v>0</v>
      </c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6"/>
      <c r="DU111" s="116"/>
      <c r="DV111" s="116"/>
      <c r="DW111" s="116"/>
      <c r="DX111" s="116"/>
      <c r="DY111" s="116"/>
      <c r="DZ111" s="116"/>
      <c r="EA111" s="116"/>
      <c r="EB111" s="116"/>
    </row>
    <row r="112" spans="1:132" s="136" customFormat="1" ht="12.75">
      <c r="A112" s="544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  <c r="DV112" s="140"/>
      <c r="DW112" s="140"/>
      <c r="DX112" s="140"/>
      <c r="DY112" s="140"/>
      <c r="DZ112" s="140"/>
      <c r="EA112" s="140"/>
      <c r="EB112" s="140"/>
    </row>
    <row r="113" spans="3:132" ht="12.75"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</row>
    <row r="114" spans="1:132" ht="12.75">
      <c r="A114" s="508" t="s">
        <v>243</v>
      </c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</row>
    <row r="115" spans="1:132" s="127" customFormat="1" ht="11.25">
      <c r="A115" s="504" t="s">
        <v>240</v>
      </c>
      <c r="C115" s="128"/>
      <c r="D115" s="129">
        <f>C119/(C117/30)</f>
        <v>21.394645941278068</v>
      </c>
      <c r="E115" s="129">
        <f aca="true" t="shared" si="51" ref="E115:O115">D115</f>
        <v>21.394645941278068</v>
      </c>
      <c r="F115" s="129">
        <f t="shared" si="51"/>
        <v>21.394645941278068</v>
      </c>
      <c r="G115" s="129">
        <f t="shared" si="51"/>
        <v>21.394645941278068</v>
      </c>
      <c r="H115" s="129">
        <f t="shared" si="51"/>
        <v>21.394645941278068</v>
      </c>
      <c r="I115" s="129">
        <f t="shared" si="51"/>
        <v>21.394645941278068</v>
      </c>
      <c r="J115" s="129">
        <f t="shared" si="51"/>
        <v>21.394645941278068</v>
      </c>
      <c r="K115" s="129">
        <f t="shared" si="51"/>
        <v>21.394645941278068</v>
      </c>
      <c r="L115" s="129">
        <f t="shared" si="51"/>
        <v>21.394645941278068</v>
      </c>
      <c r="M115" s="129">
        <f t="shared" si="51"/>
        <v>21.394645941278068</v>
      </c>
      <c r="N115" s="129">
        <f t="shared" si="51"/>
        <v>21.394645941278068</v>
      </c>
      <c r="O115" s="129">
        <f t="shared" si="51"/>
        <v>21.394645941278068</v>
      </c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</row>
    <row r="116" spans="1:132" ht="12.75">
      <c r="A116" s="145" t="s">
        <v>163</v>
      </c>
      <c r="C116" s="114"/>
      <c r="D116" s="115">
        <f aca="true" t="shared" si="52" ref="D116:O116">C119</f>
        <v>85578.58376511227</v>
      </c>
      <c r="E116" s="115">
        <f t="shared" si="52"/>
        <v>7103.022452504319</v>
      </c>
      <c r="F116" s="115">
        <f t="shared" si="52"/>
        <v>10167.439136915325</v>
      </c>
      <c r="G116" s="115">
        <f t="shared" si="52"/>
        <v>14628.662431684294</v>
      </c>
      <c r="H116" s="115">
        <f t="shared" si="52"/>
        <v>15009.076821160717</v>
      </c>
      <c r="I116" s="115">
        <f t="shared" si="52"/>
        <v>41603.50095819434</v>
      </c>
      <c r="J116" s="115">
        <f t="shared" si="52"/>
        <v>69166.25263207704</v>
      </c>
      <c r="K116" s="115">
        <f t="shared" si="52"/>
        <v>82999.50315849244</v>
      </c>
      <c r="L116" s="115">
        <f t="shared" si="52"/>
        <v>44958.064210850076</v>
      </c>
      <c r="M116" s="115">
        <f t="shared" si="52"/>
        <v>0</v>
      </c>
      <c r="N116" s="115">
        <f t="shared" si="52"/>
        <v>0</v>
      </c>
      <c r="O116" s="115">
        <f t="shared" si="52"/>
        <v>0</v>
      </c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</row>
    <row r="117" spans="2:132" ht="12.75">
      <c r="B117" s="105" t="s">
        <v>241</v>
      </c>
      <c r="C117" s="168">
        <v>120000</v>
      </c>
      <c r="D117" s="115">
        <f>Инвестиции!D51*(1+Параметры!D38)</f>
        <v>1180</v>
      </c>
      <c r="E117" s="115">
        <f>Инвестиции!E51*(1+Параметры!E38)</f>
        <v>172280</v>
      </c>
      <c r="F117" s="115">
        <f>Инвестиции!F51*(1+Параметры!F38)</f>
        <v>77290</v>
      </c>
      <c r="G117" s="115">
        <f>Инвестиции!G51*(1+Параметры!G38)</f>
        <v>178770</v>
      </c>
      <c r="H117" s="115">
        <f>Инвестиции!H51*(1+Параметры!H38)</f>
        <v>531000</v>
      </c>
      <c r="I117" s="115">
        <f>Инвестиции!I51*(1+Параметры!I38)</f>
        <v>649000</v>
      </c>
      <c r="J117" s="115">
        <f>Инвестиции!J51*(1+Параметры!J38)</f>
        <v>767000</v>
      </c>
      <c r="K117" s="115">
        <f>Инвестиции!K51*(1+Параметры!K38)</f>
        <v>0</v>
      </c>
      <c r="L117" s="115">
        <f>Инвестиции!L51*(1+Параметры!L38)</f>
        <v>0</v>
      </c>
      <c r="M117" s="115">
        <f>Инвестиции!M51*(1+Параметры!M38)</f>
        <v>0</v>
      </c>
      <c r="N117" s="115">
        <f>Инвестиции!N51*(1+Параметры!N38)</f>
        <v>0</v>
      </c>
      <c r="O117" s="115">
        <f>Инвестиции!O51*(1+Параметры!O38)</f>
        <v>0</v>
      </c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  <c r="DK117" s="116"/>
      <c r="DL117" s="116"/>
      <c r="DM117" s="116"/>
      <c r="DN117" s="116"/>
      <c r="DO117" s="116"/>
      <c r="DP117" s="116"/>
      <c r="DQ117" s="116"/>
      <c r="DR117" s="116"/>
      <c r="DS117" s="116"/>
      <c r="DT117" s="116"/>
      <c r="DU117" s="116"/>
      <c r="DV117" s="116"/>
      <c r="DW117" s="116"/>
      <c r="DX117" s="116"/>
      <c r="DY117" s="116"/>
      <c r="DZ117" s="116"/>
      <c r="EA117" s="116"/>
      <c r="EB117" s="116"/>
    </row>
    <row r="118" spans="2:132" ht="12.75">
      <c r="B118" s="105" t="s">
        <v>456</v>
      </c>
      <c r="C118" s="114"/>
      <c r="D118" s="115">
        <f aca="true" t="shared" si="53" ref="D118:O118">-C119-D117+D119</f>
        <v>-79655.56131260796</v>
      </c>
      <c r="E118" s="115">
        <f t="shared" si="53"/>
        <v>-169215.583315589</v>
      </c>
      <c r="F118" s="115">
        <f t="shared" si="53"/>
        <v>-72828.77670523104</v>
      </c>
      <c r="G118" s="115">
        <f t="shared" si="53"/>
        <v>-178389.5856105236</v>
      </c>
      <c r="H118" s="115">
        <f>-G119-H117+H119</f>
        <v>-504405.5758629664</v>
      </c>
      <c r="I118" s="115">
        <f t="shared" si="53"/>
        <v>-621437.2483261173</v>
      </c>
      <c r="J118" s="115">
        <f t="shared" si="53"/>
        <v>-753166.7494735846</v>
      </c>
      <c r="K118" s="115">
        <f t="shared" si="53"/>
        <v>-38041.43894764237</v>
      </c>
      <c r="L118" s="115">
        <f t="shared" si="53"/>
        <v>-44958.064210850076</v>
      </c>
      <c r="M118" s="115">
        <f t="shared" si="53"/>
        <v>0</v>
      </c>
      <c r="N118" s="115">
        <f t="shared" si="53"/>
        <v>0</v>
      </c>
      <c r="O118" s="115">
        <f t="shared" si="53"/>
        <v>0</v>
      </c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</row>
    <row r="119" spans="1:132" ht="12.75">
      <c r="A119" s="505" t="s">
        <v>164</v>
      </c>
      <c r="B119" s="132"/>
      <c r="C119" s="133">
        <f>(977500+1500000)/Параметры!C14</f>
        <v>85578.58376511227</v>
      </c>
      <c r="D119" s="134">
        <f>(C117+D117)/365*D115</f>
        <v>7103.022452504319</v>
      </c>
      <c r="E119" s="134">
        <f aca="true" t="shared" si="54" ref="E119:O119">(D117+E117)/365*E115</f>
        <v>10167.439136915325</v>
      </c>
      <c r="F119" s="134">
        <f t="shared" si="54"/>
        <v>14628.662431684294</v>
      </c>
      <c r="G119" s="134">
        <f t="shared" si="54"/>
        <v>15009.076821160717</v>
      </c>
      <c r="H119" s="134">
        <f t="shared" si="54"/>
        <v>41603.50095819434</v>
      </c>
      <c r="I119" s="134">
        <f t="shared" si="54"/>
        <v>69166.25263207704</v>
      </c>
      <c r="J119" s="134">
        <f t="shared" si="54"/>
        <v>82999.50315849244</v>
      </c>
      <c r="K119" s="134">
        <f t="shared" si="54"/>
        <v>44958.064210850076</v>
      </c>
      <c r="L119" s="134">
        <f t="shared" si="54"/>
        <v>0</v>
      </c>
      <c r="M119" s="134">
        <f t="shared" si="54"/>
        <v>0</v>
      </c>
      <c r="N119" s="134">
        <f t="shared" si="54"/>
        <v>0</v>
      </c>
      <c r="O119" s="134">
        <f t="shared" si="54"/>
        <v>0</v>
      </c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</row>
    <row r="120" spans="1:132" s="108" customFormat="1" ht="13.5" customHeight="1">
      <c r="A120" s="502"/>
      <c r="B120" s="141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3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19"/>
      <c r="DR120" s="119"/>
      <c r="DS120" s="119"/>
      <c r="DT120" s="119"/>
      <c r="DU120" s="119"/>
      <c r="DV120" s="119"/>
      <c r="DW120" s="119"/>
      <c r="DX120" s="119"/>
      <c r="DY120" s="119"/>
      <c r="DZ120" s="119"/>
      <c r="EA120" s="119"/>
      <c r="EB120" s="119"/>
    </row>
    <row r="121" spans="3:132" ht="12.75"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</row>
    <row r="128" spans="3:132" ht="12.75"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  <c r="DT128" s="116"/>
      <c r="DU128" s="116"/>
      <c r="DV128" s="116"/>
      <c r="DW128" s="116"/>
      <c r="DX128" s="116"/>
      <c r="DY128" s="116"/>
      <c r="DZ128" s="116"/>
      <c r="EA128" s="116"/>
      <c r="EB128" s="116"/>
    </row>
    <row r="129" spans="3:132" ht="12.75"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</row>
    <row r="130" spans="3:132" ht="12.75"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  <c r="DT130" s="116"/>
      <c r="DU130" s="116"/>
      <c r="DV130" s="116"/>
      <c r="DW130" s="116"/>
      <c r="DX130" s="116"/>
      <c r="DY130" s="116"/>
      <c r="DZ130" s="116"/>
      <c r="EA130" s="116"/>
      <c r="EB130" s="116"/>
    </row>
    <row r="131" spans="3:132" ht="12.75"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  <c r="DK131" s="116"/>
      <c r="DL131" s="116"/>
      <c r="DM131" s="116"/>
      <c r="DN131" s="116"/>
      <c r="DO131" s="116"/>
      <c r="DP131" s="116"/>
      <c r="DQ131" s="116"/>
      <c r="DR131" s="116"/>
      <c r="DS131" s="116"/>
      <c r="DT131" s="116"/>
      <c r="DU131" s="116"/>
      <c r="DV131" s="116"/>
      <c r="DW131" s="116"/>
      <c r="DX131" s="116"/>
      <c r="DY131" s="116"/>
      <c r="DZ131" s="116"/>
      <c r="EA131" s="116"/>
      <c r="EB131" s="116"/>
    </row>
    <row r="132" spans="3:132" ht="12.75"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  <c r="DK132" s="116"/>
      <c r="DL132" s="116"/>
      <c r="DM132" s="116"/>
      <c r="DN132" s="116"/>
      <c r="DO132" s="116"/>
      <c r="DP132" s="116"/>
      <c r="DQ132" s="116"/>
      <c r="DR132" s="116"/>
      <c r="DS132" s="116"/>
      <c r="DT132" s="116"/>
      <c r="DU132" s="116"/>
      <c r="DV132" s="116"/>
      <c r="DW132" s="116"/>
      <c r="DX132" s="116"/>
      <c r="DY132" s="116"/>
      <c r="DZ132" s="116"/>
      <c r="EA132" s="116"/>
      <c r="EB132" s="116"/>
    </row>
    <row r="133" spans="3:132" ht="12.75"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  <c r="DK133" s="116"/>
      <c r="DL133" s="116"/>
      <c r="DM133" s="116"/>
      <c r="DN133" s="116"/>
      <c r="DO133" s="116"/>
      <c r="DP133" s="116"/>
      <c r="DQ133" s="116"/>
      <c r="DR133" s="116"/>
      <c r="DS133" s="116"/>
      <c r="DT133" s="116"/>
      <c r="DU133" s="116"/>
      <c r="DV133" s="116"/>
      <c r="DW133" s="116"/>
      <c r="DX133" s="116"/>
      <c r="DY133" s="116"/>
      <c r="DZ133" s="116"/>
      <c r="EA133" s="116"/>
      <c r="EB133" s="116"/>
    </row>
    <row r="134" spans="3:132" ht="12.75"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6"/>
      <c r="DR134" s="116"/>
      <c r="DS134" s="116"/>
      <c r="DT134" s="116"/>
      <c r="DU134" s="116"/>
      <c r="DV134" s="116"/>
      <c r="DW134" s="116"/>
      <c r="DX134" s="116"/>
      <c r="DY134" s="116"/>
      <c r="DZ134" s="116"/>
      <c r="EA134" s="116"/>
      <c r="EB134" s="116"/>
    </row>
    <row r="135" spans="3:132" ht="12.75"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  <c r="DK135" s="116"/>
      <c r="DL135" s="116"/>
      <c r="DM135" s="116"/>
      <c r="DN135" s="116"/>
      <c r="DO135" s="116"/>
      <c r="DP135" s="116"/>
      <c r="DQ135" s="116"/>
      <c r="DR135" s="116"/>
      <c r="DS135" s="116"/>
      <c r="DT135" s="116"/>
      <c r="DU135" s="116"/>
      <c r="DV135" s="116"/>
      <c r="DW135" s="116"/>
      <c r="DX135" s="116"/>
      <c r="DY135" s="116"/>
      <c r="DZ135" s="116"/>
      <c r="EA135" s="116"/>
      <c r="EB135" s="116"/>
    </row>
    <row r="136" spans="3:132" ht="12.75"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  <c r="DK136" s="116"/>
      <c r="DL136" s="116"/>
      <c r="DM136" s="116"/>
      <c r="DN136" s="116"/>
      <c r="DO136" s="116"/>
      <c r="DP136" s="116"/>
      <c r="DQ136" s="116"/>
      <c r="DR136" s="116"/>
      <c r="DS136" s="116"/>
      <c r="DT136" s="116"/>
      <c r="DU136" s="116"/>
      <c r="DV136" s="116"/>
      <c r="DW136" s="116"/>
      <c r="DX136" s="116"/>
      <c r="DY136" s="116"/>
      <c r="DZ136" s="116"/>
      <c r="EA136" s="116"/>
      <c r="EB136" s="116"/>
    </row>
    <row r="137" spans="3:132" ht="12.75"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  <c r="DK137" s="116"/>
      <c r="DL137" s="116"/>
      <c r="DM137" s="116"/>
      <c r="DN137" s="116"/>
      <c r="DO137" s="116"/>
      <c r="DP137" s="116"/>
      <c r="DQ137" s="116"/>
      <c r="DR137" s="116"/>
      <c r="DS137" s="116"/>
      <c r="DT137" s="116"/>
      <c r="DU137" s="116"/>
      <c r="DV137" s="116"/>
      <c r="DW137" s="116"/>
      <c r="DX137" s="116"/>
      <c r="DY137" s="116"/>
      <c r="DZ137" s="116"/>
      <c r="EA137" s="116"/>
      <c r="EB137" s="116"/>
    </row>
    <row r="138" spans="3:132" ht="12.75"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  <c r="DK138" s="116"/>
      <c r="DL138" s="116"/>
      <c r="DM138" s="116"/>
      <c r="DN138" s="116"/>
      <c r="DO138" s="116"/>
      <c r="DP138" s="116"/>
      <c r="DQ138" s="116"/>
      <c r="DR138" s="116"/>
      <c r="DS138" s="116"/>
      <c r="DT138" s="116"/>
      <c r="DU138" s="116"/>
      <c r="DV138" s="116"/>
      <c r="DW138" s="116"/>
      <c r="DX138" s="116"/>
      <c r="DY138" s="116"/>
      <c r="DZ138" s="116"/>
      <c r="EA138" s="116"/>
      <c r="EB138" s="116"/>
    </row>
    <row r="139" spans="3:132" ht="12.75"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</row>
    <row r="140" spans="3:132" ht="12.75"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</row>
    <row r="141" spans="3:132" ht="12.75"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  <c r="DK141" s="116"/>
      <c r="DL141" s="116"/>
      <c r="DM141" s="116"/>
      <c r="DN141" s="116"/>
      <c r="DO141" s="116"/>
      <c r="DP141" s="116"/>
      <c r="DQ141" s="116"/>
      <c r="DR141" s="116"/>
      <c r="DS141" s="116"/>
      <c r="DT141" s="116"/>
      <c r="DU141" s="116"/>
      <c r="DV141" s="116"/>
      <c r="DW141" s="116"/>
      <c r="DX141" s="116"/>
      <c r="DY141" s="116"/>
      <c r="DZ141" s="116"/>
      <c r="EA141" s="116"/>
      <c r="EB141" s="116"/>
    </row>
    <row r="142" spans="3:132" ht="12.75"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  <c r="DK142" s="116"/>
      <c r="DL142" s="116"/>
      <c r="DM142" s="116"/>
      <c r="DN142" s="116"/>
      <c r="DO142" s="116"/>
      <c r="DP142" s="116"/>
      <c r="DQ142" s="116"/>
      <c r="DR142" s="116"/>
      <c r="DS142" s="116"/>
      <c r="DT142" s="116"/>
      <c r="DU142" s="116"/>
      <c r="DV142" s="116"/>
      <c r="DW142" s="116"/>
      <c r="DX142" s="116"/>
      <c r="DY142" s="116"/>
      <c r="DZ142" s="116"/>
      <c r="EA142" s="116"/>
      <c r="EB142" s="116"/>
    </row>
    <row r="143" spans="3:132" ht="12.75"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</row>
    <row r="144" spans="3:132" ht="12.75"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  <c r="DK144" s="116"/>
      <c r="DL144" s="116"/>
      <c r="DM144" s="116"/>
      <c r="DN144" s="116"/>
      <c r="DO144" s="116"/>
      <c r="DP144" s="116"/>
      <c r="DQ144" s="116"/>
      <c r="DR144" s="116"/>
      <c r="DS144" s="116"/>
      <c r="DT144" s="116"/>
      <c r="DU144" s="116"/>
      <c r="DV144" s="116"/>
      <c r="DW144" s="116"/>
      <c r="DX144" s="116"/>
      <c r="DY144" s="116"/>
      <c r="DZ144" s="116"/>
      <c r="EA144" s="116"/>
      <c r="EB144" s="116"/>
    </row>
    <row r="145" spans="3:132" ht="12.75"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  <c r="DK145" s="116"/>
      <c r="DL145" s="116"/>
      <c r="DM145" s="116"/>
      <c r="DN145" s="116"/>
      <c r="DO145" s="116"/>
      <c r="DP145" s="116"/>
      <c r="DQ145" s="116"/>
      <c r="DR145" s="116"/>
      <c r="DS145" s="116"/>
      <c r="DT145" s="116"/>
      <c r="DU145" s="116"/>
      <c r="DV145" s="116"/>
      <c r="DW145" s="116"/>
      <c r="DX145" s="116"/>
      <c r="DY145" s="116"/>
      <c r="DZ145" s="116"/>
      <c r="EA145" s="116"/>
      <c r="EB145" s="116"/>
    </row>
    <row r="146" spans="3:132" ht="12.75"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  <c r="DK146" s="116"/>
      <c r="DL146" s="116"/>
      <c r="DM146" s="116"/>
      <c r="DN146" s="116"/>
      <c r="DO146" s="116"/>
      <c r="DP146" s="116"/>
      <c r="DQ146" s="116"/>
      <c r="DR146" s="116"/>
      <c r="DS146" s="116"/>
      <c r="DT146" s="116"/>
      <c r="DU146" s="116"/>
      <c r="DV146" s="116"/>
      <c r="DW146" s="116"/>
      <c r="DX146" s="116"/>
      <c r="DY146" s="116"/>
      <c r="DZ146" s="116"/>
      <c r="EA146" s="116"/>
      <c r="EB146" s="116"/>
    </row>
    <row r="147" spans="3:132" ht="12.75"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  <c r="DU147" s="116"/>
      <c r="DV147" s="116"/>
      <c r="DW147" s="116"/>
      <c r="DX147" s="116"/>
      <c r="DY147" s="116"/>
      <c r="DZ147" s="116"/>
      <c r="EA147" s="116"/>
      <c r="EB147" s="116"/>
    </row>
    <row r="148" spans="3:132" ht="12.75"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  <c r="DK148" s="116"/>
      <c r="DL148" s="116"/>
      <c r="DM148" s="116"/>
      <c r="DN148" s="116"/>
      <c r="DO148" s="116"/>
      <c r="DP148" s="116"/>
      <c r="DQ148" s="116"/>
      <c r="DR148" s="116"/>
      <c r="DS148" s="116"/>
      <c r="DT148" s="116"/>
      <c r="DU148" s="116"/>
      <c r="DV148" s="116"/>
      <c r="DW148" s="116"/>
      <c r="DX148" s="116"/>
      <c r="DY148" s="116"/>
      <c r="DZ148" s="116"/>
      <c r="EA148" s="116"/>
      <c r="EB148" s="116"/>
    </row>
    <row r="149" spans="3:132" ht="12.75"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  <c r="DK149" s="116"/>
      <c r="DL149" s="116"/>
      <c r="DM149" s="116"/>
      <c r="DN149" s="116"/>
      <c r="DO149" s="116"/>
      <c r="DP149" s="116"/>
      <c r="DQ149" s="116"/>
      <c r="DR149" s="116"/>
      <c r="DS149" s="116"/>
      <c r="DT149" s="116"/>
      <c r="DU149" s="116"/>
      <c r="DV149" s="116"/>
      <c r="DW149" s="116"/>
      <c r="DX149" s="116"/>
      <c r="DY149" s="116"/>
      <c r="DZ149" s="116"/>
      <c r="EA149" s="116"/>
      <c r="EB149" s="116"/>
    </row>
    <row r="150" spans="3:132" ht="12.75"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  <c r="DK150" s="116"/>
      <c r="DL150" s="116"/>
      <c r="DM150" s="116"/>
      <c r="DN150" s="116"/>
      <c r="DO150" s="116"/>
      <c r="DP150" s="116"/>
      <c r="DQ150" s="116"/>
      <c r="DR150" s="116"/>
      <c r="DS150" s="116"/>
      <c r="DT150" s="116"/>
      <c r="DU150" s="116"/>
      <c r="DV150" s="116"/>
      <c r="DW150" s="116"/>
      <c r="DX150" s="116"/>
      <c r="DY150" s="116"/>
      <c r="DZ150" s="116"/>
      <c r="EA150" s="116"/>
      <c r="EB150" s="116"/>
    </row>
    <row r="151" spans="3:132" ht="12.75"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  <c r="DK151" s="116"/>
      <c r="DL151" s="116"/>
      <c r="DM151" s="116"/>
      <c r="DN151" s="116"/>
      <c r="DO151" s="116"/>
      <c r="DP151" s="116"/>
      <c r="DQ151" s="116"/>
      <c r="DR151" s="116"/>
      <c r="DS151" s="116"/>
      <c r="DT151" s="116"/>
      <c r="DU151" s="116"/>
      <c r="DV151" s="116"/>
      <c r="DW151" s="116"/>
      <c r="DX151" s="116"/>
      <c r="DY151" s="116"/>
      <c r="DZ151" s="116"/>
      <c r="EA151" s="116"/>
      <c r="EB151" s="116"/>
    </row>
    <row r="152" spans="3:132" ht="12.75"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  <c r="DK152" s="116"/>
      <c r="DL152" s="116"/>
      <c r="DM152" s="116"/>
      <c r="DN152" s="116"/>
      <c r="DO152" s="116"/>
      <c r="DP152" s="116"/>
      <c r="DQ152" s="116"/>
      <c r="DR152" s="116"/>
      <c r="DS152" s="116"/>
      <c r="DT152" s="116"/>
      <c r="DU152" s="116"/>
      <c r="DV152" s="116"/>
      <c r="DW152" s="116"/>
      <c r="DX152" s="116"/>
      <c r="DY152" s="116"/>
      <c r="DZ152" s="116"/>
      <c r="EA152" s="116"/>
      <c r="EB152" s="116"/>
    </row>
    <row r="153" spans="3:132" ht="12.75"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  <c r="DK153" s="116"/>
      <c r="DL153" s="116"/>
      <c r="DM153" s="116"/>
      <c r="DN153" s="116"/>
      <c r="DO153" s="116"/>
      <c r="DP153" s="116"/>
      <c r="DQ153" s="116"/>
      <c r="DR153" s="116"/>
      <c r="DS153" s="116"/>
      <c r="DT153" s="116"/>
      <c r="DU153" s="116"/>
      <c r="DV153" s="116"/>
      <c r="DW153" s="116"/>
      <c r="DX153" s="116"/>
      <c r="DY153" s="116"/>
      <c r="DZ153" s="116"/>
      <c r="EA153" s="116"/>
      <c r="EB153" s="116"/>
    </row>
    <row r="154" spans="3:132" ht="12.75"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  <c r="DK154" s="116"/>
      <c r="DL154" s="116"/>
      <c r="DM154" s="116"/>
      <c r="DN154" s="116"/>
      <c r="DO154" s="116"/>
      <c r="DP154" s="116"/>
      <c r="DQ154" s="116"/>
      <c r="DR154" s="116"/>
      <c r="DS154" s="116"/>
      <c r="DT154" s="116"/>
      <c r="DU154" s="116"/>
      <c r="DV154" s="116"/>
      <c r="DW154" s="116"/>
      <c r="DX154" s="116"/>
      <c r="DY154" s="116"/>
      <c r="DZ154" s="116"/>
      <c r="EA154" s="116"/>
      <c r="EB154" s="116"/>
    </row>
    <row r="155" spans="3:132" ht="12.75"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  <c r="DK155" s="116"/>
      <c r="DL155" s="116"/>
      <c r="DM155" s="116"/>
      <c r="DN155" s="116"/>
      <c r="DO155" s="116"/>
      <c r="DP155" s="116"/>
      <c r="DQ155" s="116"/>
      <c r="DR155" s="116"/>
      <c r="DS155" s="116"/>
      <c r="DT155" s="116"/>
      <c r="DU155" s="116"/>
      <c r="DV155" s="116"/>
      <c r="DW155" s="116"/>
      <c r="DX155" s="116"/>
      <c r="DY155" s="116"/>
      <c r="DZ155" s="116"/>
      <c r="EA155" s="116"/>
      <c r="EB155" s="116"/>
    </row>
    <row r="156" spans="3:132" ht="12.75"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  <c r="DK156" s="116"/>
      <c r="DL156" s="116"/>
      <c r="DM156" s="116"/>
      <c r="DN156" s="116"/>
      <c r="DO156" s="116"/>
      <c r="DP156" s="116"/>
      <c r="DQ156" s="116"/>
      <c r="DR156" s="116"/>
      <c r="DS156" s="116"/>
      <c r="DT156" s="116"/>
      <c r="DU156" s="116"/>
      <c r="DV156" s="116"/>
      <c r="DW156" s="116"/>
      <c r="DX156" s="116"/>
      <c r="DY156" s="116"/>
      <c r="DZ156" s="116"/>
      <c r="EA156" s="116"/>
      <c r="EB156" s="116"/>
    </row>
    <row r="157" spans="3:132" ht="12.75"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6"/>
      <c r="DW157" s="116"/>
      <c r="DX157" s="116"/>
      <c r="DY157" s="116"/>
      <c r="DZ157" s="116"/>
      <c r="EA157" s="116"/>
      <c r="EB157" s="116"/>
    </row>
    <row r="158" spans="3:132" ht="12.75"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  <c r="DK158" s="116"/>
      <c r="DL158" s="116"/>
      <c r="DM158" s="116"/>
      <c r="DN158" s="116"/>
      <c r="DO158" s="116"/>
      <c r="DP158" s="116"/>
      <c r="DQ158" s="116"/>
      <c r="DR158" s="116"/>
      <c r="DS158" s="116"/>
      <c r="DT158" s="116"/>
      <c r="DU158" s="116"/>
      <c r="DV158" s="116"/>
      <c r="DW158" s="116"/>
      <c r="DX158" s="116"/>
      <c r="DY158" s="116"/>
      <c r="DZ158" s="116"/>
      <c r="EA158" s="116"/>
      <c r="EB158" s="116"/>
    </row>
    <row r="159" spans="3:132" ht="12.75"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116"/>
      <c r="DL159" s="116"/>
      <c r="DM159" s="116"/>
      <c r="DN159" s="116"/>
      <c r="DO159" s="116"/>
      <c r="DP159" s="116"/>
      <c r="DQ159" s="116"/>
      <c r="DR159" s="116"/>
      <c r="DS159" s="116"/>
      <c r="DT159" s="116"/>
      <c r="DU159" s="116"/>
      <c r="DV159" s="116"/>
      <c r="DW159" s="116"/>
      <c r="DX159" s="116"/>
      <c r="DY159" s="116"/>
      <c r="DZ159" s="116"/>
      <c r="EA159" s="116"/>
      <c r="EB159" s="116"/>
    </row>
    <row r="160" spans="3:132" ht="12.75"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  <c r="DK160" s="116"/>
      <c r="DL160" s="116"/>
      <c r="DM160" s="116"/>
      <c r="DN160" s="116"/>
      <c r="DO160" s="116"/>
      <c r="DP160" s="116"/>
      <c r="DQ160" s="116"/>
      <c r="DR160" s="116"/>
      <c r="DS160" s="116"/>
      <c r="DT160" s="116"/>
      <c r="DU160" s="116"/>
      <c r="DV160" s="116"/>
      <c r="DW160" s="116"/>
      <c r="DX160" s="116"/>
      <c r="DY160" s="116"/>
      <c r="DZ160" s="116"/>
      <c r="EA160" s="116"/>
      <c r="EB160" s="116"/>
    </row>
    <row r="161" spans="3:132" ht="12.75"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</row>
    <row r="162" spans="3:132" ht="12.75"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  <c r="DK162" s="116"/>
      <c r="DL162" s="116"/>
      <c r="DM162" s="116"/>
      <c r="DN162" s="116"/>
      <c r="DO162" s="116"/>
      <c r="DP162" s="116"/>
      <c r="DQ162" s="116"/>
      <c r="DR162" s="116"/>
      <c r="DS162" s="116"/>
      <c r="DT162" s="116"/>
      <c r="DU162" s="116"/>
      <c r="DV162" s="116"/>
      <c r="DW162" s="116"/>
      <c r="DX162" s="116"/>
      <c r="DY162" s="116"/>
      <c r="DZ162" s="116"/>
      <c r="EA162" s="116"/>
      <c r="EB162" s="116"/>
    </row>
    <row r="163" spans="3:132" ht="12.75"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  <c r="DK163" s="116"/>
      <c r="DL163" s="116"/>
      <c r="DM163" s="116"/>
      <c r="DN163" s="116"/>
      <c r="DO163" s="116"/>
      <c r="DP163" s="116"/>
      <c r="DQ163" s="116"/>
      <c r="DR163" s="116"/>
      <c r="DS163" s="116"/>
      <c r="DT163" s="116"/>
      <c r="DU163" s="116"/>
      <c r="DV163" s="116"/>
      <c r="DW163" s="116"/>
      <c r="DX163" s="116"/>
      <c r="DY163" s="116"/>
      <c r="DZ163" s="116"/>
      <c r="EA163" s="116"/>
      <c r="EB163" s="116"/>
    </row>
    <row r="164" spans="3:132" ht="12.75"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  <c r="DK164" s="116"/>
      <c r="DL164" s="116"/>
      <c r="DM164" s="116"/>
      <c r="DN164" s="116"/>
      <c r="DO164" s="116"/>
      <c r="DP164" s="116"/>
      <c r="DQ164" s="116"/>
      <c r="DR164" s="116"/>
      <c r="DS164" s="116"/>
      <c r="DT164" s="116"/>
      <c r="DU164" s="116"/>
      <c r="DV164" s="116"/>
      <c r="DW164" s="116"/>
      <c r="DX164" s="116"/>
      <c r="DY164" s="116"/>
      <c r="DZ164" s="116"/>
      <c r="EA164" s="116"/>
      <c r="EB164" s="116"/>
    </row>
    <row r="165" spans="3:132" ht="12.75"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  <c r="DK165" s="116"/>
      <c r="DL165" s="116"/>
      <c r="DM165" s="116"/>
      <c r="DN165" s="116"/>
      <c r="DO165" s="116"/>
      <c r="DP165" s="116"/>
      <c r="DQ165" s="116"/>
      <c r="DR165" s="116"/>
      <c r="DS165" s="116"/>
      <c r="DT165" s="116"/>
      <c r="DU165" s="116"/>
      <c r="DV165" s="116"/>
      <c r="DW165" s="116"/>
      <c r="DX165" s="116"/>
      <c r="DY165" s="116"/>
      <c r="DZ165" s="116"/>
      <c r="EA165" s="116"/>
      <c r="EB165" s="116"/>
    </row>
    <row r="166" spans="3:132" ht="12.75"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  <c r="DK166" s="116"/>
      <c r="DL166" s="116"/>
      <c r="DM166" s="116"/>
      <c r="DN166" s="116"/>
      <c r="DO166" s="116"/>
      <c r="DP166" s="116"/>
      <c r="DQ166" s="116"/>
      <c r="DR166" s="116"/>
      <c r="DS166" s="116"/>
      <c r="DT166" s="116"/>
      <c r="DU166" s="116"/>
      <c r="DV166" s="116"/>
      <c r="DW166" s="116"/>
      <c r="DX166" s="116"/>
      <c r="DY166" s="116"/>
      <c r="DZ166" s="116"/>
      <c r="EA166" s="116"/>
      <c r="EB166" s="116"/>
    </row>
    <row r="167" spans="3:132" ht="12.75"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  <c r="DK167" s="116"/>
      <c r="DL167" s="116"/>
      <c r="DM167" s="116"/>
      <c r="DN167" s="116"/>
      <c r="DO167" s="116"/>
      <c r="DP167" s="116"/>
      <c r="DQ167" s="116"/>
      <c r="DR167" s="116"/>
      <c r="DS167" s="116"/>
      <c r="DT167" s="116"/>
      <c r="DU167" s="116"/>
      <c r="DV167" s="116"/>
      <c r="DW167" s="116"/>
      <c r="DX167" s="116"/>
      <c r="DY167" s="116"/>
      <c r="DZ167" s="116"/>
      <c r="EA167" s="116"/>
      <c r="EB167" s="116"/>
    </row>
    <row r="168" spans="3:132" ht="12.75"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  <c r="DK168" s="116"/>
      <c r="DL168" s="116"/>
      <c r="DM168" s="116"/>
      <c r="DN168" s="116"/>
      <c r="DO168" s="116"/>
      <c r="DP168" s="116"/>
      <c r="DQ168" s="116"/>
      <c r="DR168" s="116"/>
      <c r="DS168" s="116"/>
      <c r="DT168" s="116"/>
      <c r="DU168" s="116"/>
      <c r="DV168" s="116"/>
      <c r="DW168" s="116"/>
      <c r="DX168" s="116"/>
      <c r="DY168" s="116"/>
      <c r="DZ168" s="116"/>
      <c r="EA168" s="116"/>
      <c r="EB168" s="116"/>
    </row>
    <row r="169" spans="3:132" ht="12.75"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  <c r="DK169" s="116"/>
      <c r="DL169" s="116"/>
      <c r="DM169" s="116"/>
      <c r="DN169" s="116"/>
      <c r="DO169" s="116"/>
      <c r="DP169" s="116"/>
      <c r="DQ169" s="116"/>
      <c r="DR169" s="116"/>
      <c r="DS169" s="116"/>
      <c r="DT169" s="116"/>
      <c r="DU169" s="116"/>
      <c r="DV169" s="116"/>
      <c r="DW169" s="116"/>
      <c r="DX169" s="116"/>
      <c r="DY169" s="116"/>
      <c r="DZ169" s="116"/>
      <c r="EA169" s="116"/>
      <c r="EB169" s="116"/>
    </row>
    <row r="170" spans="3:132" ht="12.75"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  <c r="DK170" s="116"/>
      <c r="DL170" s="116"/>
      <c r="DM170" s="116"/>
      <c r="DN170" s="116"/>
      <c r="DO170" s="116"/>
      <c r="DP170" s="116"/>
      <c r="DQ170" s="116"/>
      <c r="DR170" s="116"/>
      <c r="DS170" s="116"/>
      <c r="DT170" s="116"/>
      <c r="DU170" s="116"/>
      <c r="DV170" s="116"/>
      <c r="DW170" s="116"/>
      <c r="DX170" s="116"/>
      <c r="DY170" s="116"/>
      <c r="DZ170" s="116"/>
      <c r="EA170" s="116"/>
      <c r="EB170" s="116"/>
    </row>
    <row r="171" spans="3:132" ht="12.75"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  <c r="DK171" s="116"/>
      <c r="DL171" s="116"/>
      <c r="DM171" s="116"/>
      <c r="DN171" s="116"/>
      <c r="DO171" s="116"/>
      <c r="DP171" s="116"/>
      <c r="DQ171" s="116"/>
      <c r="DR171" s="116"/>
      <c r="DS171" s="116"/>
      <c r="DT171" s="116"/>
      <c r="DU171" s="116"/>
      <c r="DV171" s="116"/>
      <c r="DW171" s="116"/>
      <c r="DX171" s="116"/>
      <c r="DY171" s="116"/>
      <c r="DZ171" s="116"/>
      <c r="EA171" s="116"/>
      <c r="EB171" s="116"/>
    </row>
    <row r="172" spans="3:132" ht="12.75"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  <c r="DK172" s="116"/>
      <c r="DL172" s="116"/>
      <c r="DM172" s="116"/>
      <c r="DN172" s="116"/>
      <c r="DO172" s="116"/>
      <c r="DP172" s="116"/>
      <c r="DQ172" s="116"/>
      <c r="DR172" s="116"/>
      <c r="DS172" s="116"/>
      <c r="DT172" s="116"/>
      <c r="DU172" s="116"/>
      <c r="DV172" s="116"/>
      <c r="DW172" s="116"/>
      <c r="DX172" s="116"/>
      <c r="DY172" s="116"/>
      <c r="DZ172" s="116"/>
      <c r="EA172" s="116"/>
      <c r="EB172" s="116"/>
    </row>
    <row r="173" spans="3:132" ht="12.75"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  <c r="DK173" s="116"/>
      <c r="DL173" s="116"/>
      <c r="DM173" s="116"/>
      <c r="DN173" s="116"/>
      <c r="DO173" s="116"/>
      <c r="DP173" s="116"/>
      <c r="DQ173" s="116"/>
      <c r="DR173" s="116"/>
      <c r="DS173" s="116"/>
      <c r="DT173" s="116"/>
      <c r="DU173" s="116"/>
      <c r="DV173" s="116"/>
      <c r="DW173" s="116"/>
      <c r="DX173" s="116"/>
      <c r="DY173" s="116"/>
      <c r="DZ173" s="116"/>
      <c r="EA173" s="116"/>
      <c r="EB173" s="116"/>
    </row>
    <row r="174" spans="3:132" ht="12.75"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  <c r="DK174" s="116"/>
      <c r="DL174" s="116"/>
      <c r="DM174" s="116"/>
      <c r="DN174" s="116"/>
      <c r="DO174" s="116"/>
      <c r="DP174" s="116"/>
      <c r="DQ174" s="116"/>
      <c r="DR174" s="116"/>
      <c r="DS174" s="116"/>
      <c r="DT174" s="116"/>
      <c r="DU174" s="116"/>
      <c r="DV174" s="116"/>
      <c r="DW174" s="116"/>
      <c r="DX174" s="116"/>
      <c r="DY174" s="116"/>
      <c r="DZ174" s="116"/>
      <c r="EA174" s="116"/>
      <c r="EB174" s="116"/>
    </row>
    <row r="175" spans="3:132" ht="12.75"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  <c r="DK175" s="116"/>
      <c r="DL175" s="116"/>
      <c r="DM175" s="116"/>
      <c r="DN175" s="116"/>
      <c r="DO175" s="116"/>
      <c r="DP175" s="116"/>
      <c r="DQ175" s="116"/>
      <c r="DR175" s="116"/>
      <c r="DS175" s="116"/>
      <c r="DT175" s="116"/>
      <c r="DU175" s="116"/>
      <c r="DV175" s="116"/>
      <c r="DW175" s="116"/>
      <c r="DX175" s="116"/>
      <c r="DY175" s="116"/>
      <c r="DZ175" s="116"/>
      <c r="EA175" s="116"/>
      <c r="EB175" s="116"/>
    </row>
    <row r="176" spans="3:132" ht="12.75"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  <c r="DK176" s="116"/>
      <c r="DL176" s="116"/>
      <c r="DM176" s="116"/>
      <c r="DN176" s="116"/>
      <c r="DO176" s="116"/>
      <c r="DP176" s="116"/>
      <c r="DQ176" s="116"/>
      <c r="DR176" s="116"/>
      <c r="DS176" s="116"/>
      <c r="DT176" s="116"/>
      <c r="DU176" s="116"/>
      <c r="DV176" s="116"/>
      <c r="DW176" s="116"/>
      <c r="DX176" s="116"/>
      <c r="DY176" s="116"/>
      <c r="DZ176" s="116"/>
      <c r="EA176" s="116"/>
      <c r="EB176" s="116"/>
    </row>
    <row r="177" spans="3:132" ht="12.75"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  <c r="DK177" s="116"/>
      <c r="DL177" s="116"/>
      <c r="DM177" s="116"/>
      <c r="DN177" s="116"/>
      <c r="DO177" s="116"/>
      <c r="DP177" s="116"/>
      <c r="DQ177" s="116"/>
      <c r="DR177" s="116"/>
      <c r="DS177" s="116"/>
      <c r="DT177" s="116"/>
      <c r="DU177" s="116"/>
      <c r="DV177" s="116"/>
      <c r="DW177" s="116"/>
      <c r="DX177" s="116"/>
      <c r="DY177" s="116"/>
      <c r="DZ177" s="116"/>
      <c r="EA177" s="116"/>
      <c r="EB177" s="116"/>
    </row>
    <row r="178" spans="3:132" ht="12.75"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  <c r="DK178" s="116"/>
      <c r="DL178" s="116"/>
      <c r="DM178" s="116"/>
      <c r="DN178" s="116"/>
      <c r="DO178" s="116"/>
      <c r="DP178" s="116"/>
      <c r="DQ178" s="116"/>
      <c r="DR178" s="116"/>
      <c r="DS178" s="116"/>
      <c r="DT178" s="116"/>
      <c r="DU178" s="116"/>
      <c r="DV178" s="116"/>
      <c r="DW178" s="116"/>
      <c r="DX178" s="116"/>
      <c r="DY178" s="116"/>
      <c r="DZ178" s="116"/>
      <c r="EA178" s="116"/>
      <c r="EB178" s="116"/>
    </row>
    <row r="179" spans="3:132" ht="12.75"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  <c r="DK179" s="116"/>
      <c r="DL179" s="116"/>
      <c r="DM179" s="116"/>
      <c r="DN179" s="116"/>
      <c r="DO179" s="116"/>
      <c r="DP179" s="116"/>
      <c r="DQ179" s="116"/>
      <c r="DR179" s="116"/>
      <c r="DS179" s="116"/>
      <c r="DT179" s="116"/>
      <c r="DU179" s="116"/>
      <c r="DV179" s="116"/>
      <c r="DW179" s="116"/>
      <c r="DX179" s="116"/>
      <c r="DY179" s="116"/>
      <c r="DZ179" s="116"/>
      <c r="EA179" s="116"/>
      <c r="EB179" s="116"/>
    </row>
    <row r="180" spans="3:132" ht="12.75"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  <c r="DK180" s="116"/>
      <c r="DL180" s="116"/>
      <c r="DM180" s="116"/>
      <c r="DN180" s="116"/>
      <c r="DO180" s="116"/>
      <c r="DP180" s="116"/>
      <c r="DQ180" s="116"/>
      <c r="DR180" s="116"/>
      <c r="DS180" s="116"/>
      <c r="DT180" s="116"/>
      <c r="DU180" s="116"/>
      <c r="DV180" s="116"/>
      <c r="DW180" s="116"/>
      <c r="DX180" s="116"/>
      <c r="DY180" s="116"/>
      <c r="DZ180" s="116"/>
      <c r="EA180" s="116"/>
      <c r="EB180" s="116"/>
    </row>
    <row r="181" spans="3:132" ht="12.75"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  <c r="DK181" s="116"/>
      <c r="DL181" s="116"/>
      <c r="DM181" s="116"/>
      <c r="DN181" s="116"/>
      <c r="DO181" s="116"/>
      <c r="DP181" s="116"/>
      <c r="DQ181" s="116"/>
      <c r="DR181" s="116"/>
      <c r="DS181" s="116"/>
      <c r="DT181" s="116"/>
      <c r="DU181" s="116"/>
      <c r="DV181" s="116"/>
      <c r="DW181" s="116"/>
      <c r="DX181" s="116"/>
      <c r="DY181" s="116"/>
      <c r="DZ181" s="116"/>
      <c r="EA181" s="116"/>
      <c r="EB181" s="116"/>
    </row>
    <row r="182" spans="3:132" ht="12.75"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  <c r="DK182" s="116"/>
      <c r="DL182" s="116"/>
      <c r="DM182" s="116"/>
      <c r="DN182" s="116"/>
      <c r="DO182" s="116"/>
      <c r="DP182" s="116"/>
      <c r="DQ182" s="116"/>
      <c r="DR182" s="116"/>
      <c r="DS182" s="116"/>
      <c r="DT182" s="116"/>
      <c r="DU182" s="116"/>
      <c r="DV182" s="116"/>
      <c r="DW182" s="116"/>
      <c r="DX182" s="116"/>
      <c r="DY182" s="116"/>
      <c r="DZ182" s="116"/>
      <c r="EA182" s="116"/>
      <c r="EB182" s="116"/>
    </row>
    <row r="183" spans="3:132" ht="12.75"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  <c r="DK183" s="116"/>
      <c r="DL183" s="116"/>
      <c r="DM183" s="116"/>
      <c r="DN183" s="116"/>
      <c r="DO183" s="116"/>
      <c r="DP183" s="116"/>
      <c r="DQ183" s="116"/>
      <c r="DR183" s="116"/>
      <c r="DS183" s="116"/>
      <c r="DT183" s="116"/>
      <c r="DU183" s="116"/>
      <c r="DV183" s="116"/>
      <c r="DW183" s="116"/>
      <c r="DX183" s="116"/>
      <c r="DY183" s="116"/>
      <c r="DZ183" s="116"/>
      <c r="EA183" s="116"/>
      <c r="EB183" s="116"/>
    </row>
    <row r="184" spans="3:132" ht="12.75"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  <c r="DK184" s="116"/>
      <c r="DL184" s="116"/>
      <c r="DM184" s="116"/>
      <c r="DN184" s="116"/>
      <c r="DO184" s="116"/>
      <c r="DP184" s="116"/>
      <c r="DQ184" s="116"/>
      <c r="DR184" s="116"/>
      <c r="DS184" s="116"/>
      <c r="DT184" s="116"/>
      <c r="DU184" s="116"/>
      <c r="DV184" s="116"/>
      <c r="DW184" s="116"/>
      <c r="DX184" s="116"/>
      <c r="DY184" s="116"/>
      <c r="DZ184" s="116"/>
      <c r="EA184" s="116"/>
      <c r="EB184" s="116"/>
    </row>
    <row r="185" spans="3:132" ht="12.75"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  <c r="DK185" s="116"/>
      <c r="DL185" s="116"/>
      <c r="DM185" s="116"/>
      <c r="DN185" s="116"/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16"/>
      <c r="EB185" s="116"/>
    </row>
    <row r="186" spans="3:132" ht="12.75"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  <c r="DK186" s="116"/>
      <c r="DL186" s="116"/>
      <c r="DM186" s="116"/>
      <c r="DN186" s="116"/>
      <c r="DO186" s="116"/>
      <c r="DP186" s="116"/>
      <c r="DQ186" s="116"/>
      <c r="DR186" s="116"/>
      <c r="DS186" s="116"/>
      <c r="DT186" s="116"/>
      <c r="DU186" s="116"/>
      <c r="DV186" s="116"/>
      <c r="DW186" s="116"/>
      <c r="DX186" s="116"/>
      <c r="DY186" s="116"/>
      <c r="DZ186" s="116"/>
      <c r="EA186" s="116"/>
      <c r="EB186" s="116"/>
    </row>
    <row r="187" spans="3:132" ht="12.75"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  <c r="DK187" s="116"/>
      <c r="DL187" s="116"/>
      <c r="DM187" s="116"/>
      <c r="DN187" s="116"/>
      <c r="DO187" s="116"/>
      <c r="DP187" s="116"/>
      <c r="DQ187" s="116"/>
      <c r="DR187" s="116"/>
      <c r="DS187" s="116"/>
      <c r="DT187" s="116"/>
      <c r="DU187" s="116"/>
      <c r="DV187" s="116"/>
      <c r="DW187" s="116"/>
      <c r="DX187" s="116"/>
      <c r="DY187" s="116"/>
      <c r="DZ187" s="116"/>
      <c r="EA187" s="116"/>
      <c r="EB187" s="116"/>
    </row>
    <row r="188" spans="3:132" ht="12.75"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  <c r="DK188" s="116"/>
      <c r="DL188" s="116"/>
      <c r="DM188" s="116"/>
      <c r="DN188" s="116"/>
      <c r="DO188" s="116"/>
      <c r="DP188" s="116"/>
      <c r="DQ188" s="116"/>
      <c r="DR188" s="116"/>
      <c r="DS188" s="116"/>
      <c r="DT188" s="116"/>
      <c r="DU188" s="116"/>
      <c r="DV188" s="116"/>
      <c r="DW188" s="116"/>
      <c r="DX188" s="116"/>
      <c r="DY188" s="116"/>
      <c r="DZ188" s="116"/>
      <c r="EA188" s="116"/>
      <c r="EB188" s="116"/>
    </row>
    <row r="189" spans="3:132" ht="12.75"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  <c r="DK189" s="116"/>
      <c r="DL189" s="116"/>
      <c r="DM189" s="116"/>
      <c r="DN189" s="116"/>
      <c r="DO189" s="116"/>
      <c r="DP189" s="116"/>
      <c r="DQ189" s="116"/>
      <c r="DR189" s="116"/>
      <c r="DS189" s="116"/>
      <c r="DT189" s="116"/>
      <c r="DU189" s="116"/>
      <c r="DV189" s="116"/>
      <c r="DW189" s="116"/>
      <c r="DX189" s="116"/>
      <c r="DY189" s="116"/>
      <c r="DZ189" s="116"/>
      <c r="EA189" s="116"/>
      <c r="EB189" s="116"/>
    </row>
    <row r="190" spans="3:132" ht="12.75"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  <c r="DK190" s="116"/>
      <c r="DL190" s="116"/>
      <c r="DM190" s="116"/>
      <c r="DN190" s="116"/>
      <c r="DO190" s="116"/>
      <c r="DP190" s="116"/>
      <c r="DQ190" s="116"/>
      <c r="DR190" s="116"/>
      <c r="DS190" s="116"/>
      <c r="DT190" s="116"/>
      <c r="DU190" s="116"/>
      <c r="DV190" s="116"/>
      <c r="DW190" s="116"/>
      <c r="DX190" s="116"/>
      <c r="DY190" s="116"/>
      <c r="DZ190" s="116"/>
      <c r="EA190" s="116"/>
      <c r="EB190" s="116"/>
    </row>
    <row r="191" spans="3:132" ht="12.75"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  <c r="DK191" s="116"/>
      <c r="DL191" s="116"/>
      <c r="DM191" s="116"/>
      <c r="DN191" s="116"/>
      <c r="DO191" s="116"/>
      <c r="DP191" s="116"/>
      <c r="DQ191" s="116"/>
      <c r="DR191" s="116"/>
      <c r="DS191" s="116"/>
      <c r="DT191" s="116"/>
      <c r="DU191" s="116"/>
      <c r="DV191" s="116"/>
      <c r="DW191" s="116"/>
      <c r="DX191" s="116"/>
      <c r="DY191" s="116"/>
      <c r="DZ191" s="116"/>
      <c r="EA191" s="116"/>
      <c r="EB191" s="116"/>
    </row>
    <row r="192" spans="3:132" ht="12.75"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  <c r="DK192" s="116"/>
      <c r="DL192" s="116"/>
      <c r="DM192" s="116"/>
      <c r="DN192" s="116"/>
      <c r="DO192" s="116"/>
      <c r="DP192" s="116"/>
      <c r="DQ192" s="116"/>
      <c r="DR192" s="116"/>
      <c r="DS192" s="116"/>
      <c r="DT192" s="116"/>
      <c r="DU192" s="116"/>
      <c r="DV192" s="116"/>
      <c r="DW192" s="116"/>
      <c r="DX192" s="116"/>
      <c r="DY192" s="116"/>
      <c r="DZ192" s="116"/>
      <c r="EA192" s="116"/>
      <c r="EB192" s="116"/>
    </row>
    <row r="193" spans="3:132" ht="12.75"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  <c r="DK193" s="116"/>
      <c r="DL193" s="116"/>
      <c r="DM193" s="116"/>
      <c r="DN193" s="116"/>
      <c r="DO193" s="116"/>
      <c r="DP193" s="116"/>
      <c r="DQ193" s="116"/>
      <c r="DR193" s="116"/>
      <c r="DS193" s="116"/>
      <c r="DT193" s="116"/>
      <c r="DU193" s="116"/>
      <c r="DV193" s="116"/>
      <c r="DW193" s="116"/>
      <c r="DX193" s="116"/>
      <c r="DY193" s="116"/>
      <c r="DZ193" s="116"/>
      <c r="EA193" s="116"/>
      <c r="EB193" s="116"/>
    </row>
    <row r="194" spans="3:132" ht="12.75"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  <c r="DK194" s="116"/>
      <c r="DL194" s="116"/>
      <c r="DM194" s="116"/>
      <c r="DN194" s="116"/>
      <c r="DO194" s="116"/>
      <c r="DP194" s="116"/>
      <c r="DQ194" s="116"/>
      <c r="DR194" s="116"/>
      <c r="DS194" s="116"/>
      <c r="DT194" s="116"/>
      <c r="DU194" s="116"/>
      <c r="DV194" s="116"/>
      <c r="DW194" s="116"/>
      <c r="DX194" s="116"/>
      <c r="DY194" s="116"/>
      <c r="DZ194" s="116"/>
      <c r="EA194" s="116"/>
      <c r="EB194" s="116"/>
    </row>
    <row r="195" spans="3:132" ht="12.75"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  <c r="DK195" s="116"/>
      <c r="DL195" s="116"/>
      <c r="DM195" s="116"/>
      <c r="DN195" s="116"/>
      <c r="DO195" s="116"/>
      <c r="DP195" s="116"/>
      <c r="DQ195" s="116"/>
      <c r="DR195" s="116"/>
      <c r="DS195" s="116"/>
      <c r="DT195" s="116"/>
      <c r="DU195" s="116"/>
      <c r="DV195" s="116"/>
      <c r="DW195" s="116"/>
      <c r="DX195" s="116"/>
      <c r="DY195" s="116"/>
      <c r="DZ195" s="116"/>
      <c r="EA195" s="116"/>
      <c r="EB195" s="116"/>
    </row>
    <row r="196" spans="3:132" ht="12.75"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  <c r="DK196" s="116"/>
      <c r="DL196" s="116"/>
      <c r="DM196" s="116"/>
      <c r="DN196" s="116"/>
      <c r="DO196" s="116"/>
      <c r="DP196" s="116"/>
      <c r="DQ196" s="116"/>
      <c r="DR196" s="116"/>
      <c r="DS196" s="116"/>
      <c r="DT196" s="116"/>
      <c r="DU196" s="116"/>
      <c r="DV196" s="116"/>
      <c r="DW196" s="116"/>
      <c r="DX196" s="116"/>
      <c r="DY196" s="116"/>
      <c r="DZ196" s="116"/>
      <c r="EA196" s="116"/>
      <c r="EB196" s="116"/>
    </row>
    <row r="197" spans="3:132" ht="12.75"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  <c r="DK197" s="116"/>
      <c r="DL197" s="116"/>
      <c r="DM197" s="116"/>
      <c r="DN197" s="116"/>
      <c r="DO197" s="116"/>
      <c r="DP197" s="116"/>
      <c r="DQ197" s="116"/>
      <c r="DR197" s="116"/>
      <c r="DS197" s="116"/>
      <c r="DT197" s="116"/>
      <c r="DU197" s="116"/>
      <c r="DV197" s="116"/>
      <c r="DW197" s="116"/>
      <c r="DX197" s="116"/>
      <c r="DY197" s="116"/>
      <c r="DZ197" s="116"/>
      <c r="EA197" s="116"/>
      <c r="EB197" s="116"/>
    </row>
    <row r="198" spans="3:132" ht="12.75"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  <c r="DK198" s="116"/>
      <c r="DL198" s="116"/>
      <c r="DM198" s="116"/>
      <c r="DN198" s="116"/>
      <c r="DO198" s="116"/>
      <c r="DP198" s="116"/>
      <c r="DQ198" s="116"/>
      <c r="DR198" s="116"/>
      <c r="DS198" s="116"/>
      <c r="DT198" s="116"/>
      <c r="DU198" s="116"/>
      <c r="DV198" s="116"/>
      <c r="DW198" s="116"/>
      <c r="DX198" s="116"/>
      <c r="DY198" s="116"/>
      <c r="DZ198" s="116"/>
      <c r="EA198" s="116"/>
      <c r="EB198" s="116"/>
    </row>
    <row r="199" spans="3:132" ht="12.75"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  <c r="DK199" s="116"/>
      <c r="DL199" s="116"/>
      <c r="DM199" s="116"/>
      <c r="DN199" s="116"/>
      <c r="DO199" s="116"/>
      <c r="DP199" s="116"/>
      <c r="DQ199" s="116"/>
      <c r="DR199" s="116"/>
      <c r="DS199" s="116"/>
      <c r="DT199" s="116"/>
      <c r="DU199" s="116"/>
      <c r="DV199" s="116"/>
      <c r="DW199" s="116"/>
      <c r="DX199" s="116"/>
      <c r="DY199" s="116"/>
      <c r="DZ199" s="116"/>
      <c r="EA199" s="116"/>
      <c r="EB199" s="116"/>
    </row>
    <row r="200" spans="3:132" ht="12.75"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  <c r="DK200" s="116"/>
      <c r="DL200" s="116"/>
      <c r="DM200" s="116"/>
      <c r="DN200" s="116"/>
      <c r="DO200" s="116"/>
      <c r="DP200" s="116"/>
      <c r="DQ200" s="116"/>
      <c r="DR200" s="116"/>
      <c r="DS200" s="116"/>
      <c r="DT200" s="116"/>
      <c r="DU200" s="116"/>
      <c r="DV200" s="116"/>
      <c r="DW200" s="116"/>
      <c r="DX200" s="116"/>
      <c r="DY200" s="116"/>
      <c r="DZ200" s="116"/>
      <c r="EA200" s="116"/>
      <c r="EB200" s="116"/>
    </row>
    <row r="201" spans="3:132" ht="12.75"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  <c r="DK201" s="116"/>
      <c r="DL201" s="116"/>
      <c r="DM201" s="116"/>
      <c r="DN201" s="116"/>
      <c r="DO201" s="116"/>
      <c r="DP201" s="116"/>
      <c r="DQ201" s="116"/>
      <c r="DR201" s="116"/>
      <c r="DS201" s="116"/>
      <c r="DT201" s="116"/>
      <c r="DU201" s="116"/>
      <c r="DV201" s="116"/>
      <c r="DW201" s="116"/>
      <c r="DX201" s="116"/>
      <c r="DY201" s="116"/>
      <c r="DZ201" s="116"/>
      <c r="EA201" s="116"/>
      <c r="EB201" s="116"/>
    </row>
    <row r="202" spans="3:132" ht="12.75"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  <c r="DK202" s="116"/>
      <c r="DL202" s="116"/>
      <c r="DM202" s="116"/>
      <c r="DN202" s="116"/>
      <c r="DO202" s="116"/>
      <c r="DP202" s="116"/>
      <c r="DQ202" s="116"/>
      <c r="DR202" s="116"/>
      <c r="DS202" s="116"/>
      <c r="DT202" s="116"/>
      <c r="DU202" s="116"/>
      <c r="DV202" s="116"/>
      <c r="DW202" s="116"/>
      <c r="DX202" s="116"/>
      <c r="DY202" s="116"/>
      <c r="DZ202" s="116"/>
      <c r="EA202" s="116"/>
      <c r="EB202" s="116"/>
    </row>
    <row r="203" spans="3:132" ht="12.75"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  <c r="DK203" s="116"/>
      <c r="DL203" s="116"/>
      <c r="DM203" s="116"/>
      <c r="DN203" s="116"/>
      <c r="DO203" s="116"/>
      <c r="DP203" s="116"/>
      <c r="DQ203" s="116"/>
      <c r="DR203" s="116"/>
      <c r="DS203" s="116"/>
      <c r="DT203" s="116"/>
      <c r="DU203" s="116"/>
      <c r="DV203" s="116"/>
      <c r="DW203" s="116"/>
      <c r="DX203" s="116"/>
      <c r="DY203" s="116"/>
      <c r="DZ203" s="116"/>
      <c r="EA203" s="116"/>
      <c r="EB203" s="116"/>
    </row>
    <row r="204" spans="3:132" ht="12.75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  <c r="DK204" s="116"/>
      <c r="DL204" s="116"/>
      <c r="DM204" s="116"/>
      <c r="DN204" s="116"/>
      <c r="DO204" s="116"/>
      <c r="DP204" s="116"/>
      <c r="DQ204" s="116"/>
      <c r="DR204" s="116"/>
      <c r="DS204" s="116"/>
      <c r="DT204" s="116"/>
      <c r="DU204" s="116"/>
      <c r="DV204" s="116"/>
      <c r="DW204" s="116"/>
      <c r="DX204" s="116"/>
      <c r="DY204" s="116"/>
      <c r="DZ204" s="116"/>
      <c r="EA204" s="116"/>
      <c r="EB204" s="116"/>
    </row>
    <row r="205" spans="3:132" ht="12.75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  <c r="DK205" s="116"/>
      <c r="DL205" s="116"/>
      <c r="DM205" s="116"/>
      <c r="DN205" s="116"/>
      <c r="DO205" s="116"/>
      <c r="DP205" s="116"/>
      <c r="DQ205" s="116"/>
      <c r="DR205" s="116"/>
      <c r="DS205" s="116"/>
      <c r="DT205" s="116"/>
      <c r="DU205" s="116"/>
      <c r="DV205" s="116"/>
      <c r="DW205" s="116"/>
      <c r="DX205" s="116"/>
      <c r="DY205" s="116"/>
      <c r="DZ205" s="116"/>
      <c r="EA205" s="116"/>
      <c r="EB205" s="116"/>
    </row>
    <row r="206" spans="3:132" ht="12.75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  <c r="DK206" s="116"/>
      <c r="DL206" s="116"/>
      <c r="DM206" s="116"/>
      <c r="DN206" s="116"/>
      <c r="DO206" s="116"/>
      <c r="DP206" s="116"/>
      <c r="DQ206" s="116"/>
      <c r="DR206" s="116"/>
      <c r="DS206" s="116"/>
      <c r="DT206" s="116"/>
      <c r="DU206" s="116"/>
      <c r="DV206" s="116"/>
      <c r="DW206" s="116"/>
      <c r="DX206" s="116"/>
      <c r="DY206" s="116"/>
      <c r="DZ206" s="116"/>
      <c r="EA206" s="116"/>
      <c r="EB206" s="116"/>
    </row>
    <row r="207" spans="3:132" ht="12.75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  <c r="DK207" s="116"/>
      <c r="DL207" s="116"/>
      <c r="DM207" s="116"/>
      <c r="DN207" s="116"/>
      <c r="DO207" s="116"/>
      <c r="DP207" s="116"/>
      <c r="DQ207" s="116"/>
      <c r="DR207" s="116"/>
      <c r="DS207" s="116"/>
      <c r="DT207" s="116"/>
      <c r="DU207" s="116"/>
      <c r="DV207" s="116"/>
      <c r="DW207" s="116"/>
      <c r="DX207" s="116"/>
      <c r="DY207" s="116"/>
      <c r="DZ207" s="116"/>
      <c r="EA207" s="116"/>
      <c r="EB207" s="116"/>
    </row>
    <row r="208" spans="3:132" ht="12.75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16"/>
      <c r="DA208" s="116"/>
      <c r="DB208" s="116"/>
      <c r="DC208" s="116"/>
      <c r="DD208" s="116"/>
      <c r="DE208" s="116"/>
      <c r="DF208" s="116"/>
      <c r="DG208" s="116"/>
      <c r="DH208" s="116"/>
      <c r="DI208" s="116"/>
      <c r="DJ208" s="116"/>
      <c r="DK208" s="116"/>
      <c r="DL208" s="116"/>
      <c r="DM208" s="116"/>
      <c r="DN208" s="116"/>
      <c r="DO208" s="116"/>
      <c r="DP208" s="116"/>
      <c r="DQ208" s="116"/>
      <c r="DR208" s="116"/>
      <c r="DS208" s="116"/>
      <c r="DT208" s="116"/>
      <c r="DU208" s="116"/>
      <c r="DV208" s="116"/>
      <c r="DW208" s="116"/>
      <c r="DX208" s="116"/>
      <c r="DY208" s="116"/>
      <c r="DZ208" s="116"/>
      <c r="EA208" s="116"/>
      <c r="EB208" s="116"/>
    </row>
    <row r="209" spans="3:132" ht="12.75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  <c r="CX209" s="116"/>
      <c r="CY209" s="116"/>
      <c r="CZ209" s="116"/>
      <c r="DA209" s="116"/>
      <c r="DB209" s="116"/>
      <c r="DC209" s="116"/>
      <c r="DD209" s="116"/>
      <c r="DE209" s="116"/>
      <c r="DF209" s="116"/>
      <c r="DG209" s="116"/>
      <c r="DH209" s="116"/>
      <c r="DI209" s="116"/>
      <c r="DJ209" s="116"/>
      <c r="DK209" s="116"/>
      <c r="DL209" s="116"/>
      <c r="DM209" s="116"/>
      <c r="DN209" s="116"/>
      <c r="DO209" s="116"/>
      <c r="DP209" s="116"/>
      <c r="DQ209" s="116"/>
      <c r="DR209" s="116"/>
      <c r="DS209" s="116"/>
      <c r="DT209" s="116"/>
      <c r="DU209" s="116"/>
      <c r="DV209" s="116"/>
      <c r="DW209" s="116"/>
      <c r="DX209" s="116"/>
      <c r="DY209" s="116"/>
      <c r="DZ209" s="116"/>
      <c r="EA209" s="116"/>
      <c r="EB209" s="116"/>
    </row>
    <row r="210" spans="3:132" ht="12.75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16"/>
      <c r="DA210" s="116"/>
      <c r="DB210" s="116"/>
      <c r="DC210" s="116"/>
      <c r="DD210" s="116"/>
      <c r="DE210" s="116"/>
      <c r="DF210" s="116"/>
      <c r="DG210" s="116"/>
      <c r="DH210" s="116"/>
      <c r="DI210" s="116"/>
      <c r="DJ210" s="116"/>
      <c r="DK210" s="116"/>
      <c r="DL210" s="116"/>
      <c r="DM210" s="116"/>
      <c r="DN210" s="116"/>
      <c r="DO210" s="116"/>
      <c r="DP210" s="116"/>
      <c r="DQ210" s="116"/>
      <c r="DR210" s="116"/>
      <c r="DS210" s="116"/>
      <c r="DT210" s="116"/>
      <c r="DU210" s="116"/>
      <c r="DV210" s="116"/>
      <c r="DW210" s="116"/>
      <c r="DX210" s="116"/>
      <c r="DY210" s="116"/>
      <c r="DZ210" s="116"/>
      <c r="EA210" s="116"/>
      <c r="EB210" s="116"/>
    </row>
    <row r="211" spans="3:132" ht="12.75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  <c r="CV211" s="116"/>
      <c r="CW211" s="116"/>
      <c r="CX211" s="116"/>
      <c r="CY211" s="116"/>
      <c r="CZ211" s="116"/>
      <c r="DA211" s="116"/>
      <c r="DB211" s="116"/>
      <c r="DC211" s="116"/>
      <c r="DD211" s="116"/>
      <c r="DE211" s="116"/>
      <c r="DF211" s="116"/>
      <c r="DG211" s="116"/>
      <c r="DH211" s="116"/>
      <c r="DI211" s="116"/>
      <c r="DJ211" s="116"/>
      <c r="DK211" s="116"/>
      <c r="DL211" s="116"/>
      <c r="DM211" s="116"/>
      <c r="DN211" s="116"/>
      <c r="DO211" s="116"/>
      <c r="DP211" s="116"/>
      <c r="DQ211" s="116"/>
      <c r="DR211" s="116"/>
      <c r="DS211" s="116"/>
      <c r="DT211" s="116"/>
      <c r="DU211" s="116"/>
      <c r="DV211" s="116"/>
      <c r="DW211" s="116"/>
      <c r="DX211" s="116"/>
      <c r="DY211" s="116"/>
      <c r="DZ211" s="116"/>
      <c r="EA211" s="116"/>
      <c r="EB211" s="116"/>
    </row>
    <row r="212" spans="3:132" ht="12.75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6"/>
      <c r="CS212" s="116"/>
      <c r="CT212" s="116"/>
      <c r="CU212" s="116"/>
      <c r="CV212" s="116"/>
      <c r="CW212" s="116"/>
      <c r="CX212" s="116"/>
      <c r="CY212" s="116"/>
      <c r="CZ212" s="116"/>
      <c r="DA212" s="116"/>
      <c r="DB212" s="116"/>
      <c r="DC212" s="116"/>
      <c r="DD212" s="116"/>
      <c r="DE212" s="116"/>
      <c r="DF212" s="116"/>
      <c r="DG212" s="116"/>
      <c r="DH212" s="116"/>
      <c r="DI212" s="116"/>
      <c r="DJ212" s="116"/>
      <c r="DK212" s="116"/>
      <c r="DL212" s="116"/>
      <c r="DM212" s="116"/>
      <c r="DN212" s="116"/>
      <c r="DO212" s="116"/>
      <c r="DP212" s="116"/>
      <c r="DQ212" s="116"/>
      <c r="DR212" s="116"/>
      <c r="DS212" s="116"/>
      <c r="DT212" s="116"/>
      <c r="DU212" s="116"/>
      <c r="DV212" s="116"/>
      <c r="DW212" s="116"/>
      <c r="DX212" s="116"/>
      <c r="DY212" s="116"/>
      <c r="DZ212" s="116"/>
      <c r="EA212" s="116"/>
      <c r="EB212" s="116"/>
    </row>
    <row r="213" spans="3:132" ht="12.75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  <c r="CZ213" s="116"/>
      <c r="DA213" s="116"/>
      <c r="DB213" s="116"/>
      <c r="DC213" s="116"/>
      <c r="DD213" s="116"/>
      <c r="DE213" s="116"/>
      <c r="DF213" s="116"/>
      <c r="DG213" s="116"/>
      <c r="DH213" s="116"/>
      <c r="DI213" s="116"/>
      <c r="DJ213" s="116"/>
      <c r="DK213" s="116"/>
      <c r="DL213" s="116"/>
      <c r="DM213" s="116"/>
      <c r="DN213" s="116"/>
      <c r="DO213" s="116"/>
      <c r="DP213" s="116"/>
      <c r="DQ213" s="116"/>
      <c r="DR213" s="116"/>
      <c r="DS213" s="116"/>
      <c r="DT213" s="116"/>
      <c r="DU213" s="116"/>
      <c r="DV213" s="116"/>
      <c r="DW213" s="116"/>
      <c r="DX213" s="116"/>
      <c r="DY213" s="116"/>
      <c r="DZ213" s="116"/>
      <c r="EA213" s="116"/>
      <c r="EB213" s="116"/>
    </row>
    <row r="214" spans="3:132" ht="12.75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16"/>
      <c r="DA214" s="116"/>
      <c r="DB214" s="116"/>
      <c r="DC214" s="116"/>
      <c r="DD214" s="116"/>
      <c r="DE214" s="116"/>
      <c r="DF214" s="116"/>
      <c r="DG214" s="116"/>
      <c r="DH214" s="116"/>
      <c r="DI214" s="116"/>
      <c r="DJ214" s="116"/>
      <c r="DK214" s="116"/>
      <c r="DL214" s="116"/>
      <c r="DM214" s="116"/>
      <c r="DN214" s="116"/>
      <c r="DO214" s="116"/>
      <c r="DP214" s="116"/>
      <c r="DQ214" s="116"/>
      <c r="DR214" s="116"/>
      <c r="DS214" s="116"/>
      <c r="DT214" s="116"/>
      <c r="DU214" s="116"/>
      <c r="DV214" s="116"/>
      <c r="DW214" s="116"/>
      <c r="DX214" s="116"/>
      <c r="DY214" s="116"/>
      <c r="DZ214" s="116"/>
      <c r="EA214" s="116"/>
      <c r="EB214" s="116"/>
    </row>
    <row r="215" spans="3:132" ht="12.75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  <c r="CX215" s="116"/>
      <c r="CY215" s="116"/>
      <c r="CZ215" s="116"/>
      <c r="DA215" s="116"/>
      <c r="DB215" s="116"/>
      <c r="DC215" s="116"/>
      <c r="DD215" s="116"/>
      <c r="DE215" s="116"/>
      <c r="DF215" s="116"/>
      <c r="DG215" s="116"/>
      <c r="DH215" s="116"/>
      <c r="DI215" s="116"/>
      <c r="DJ215" s="116"/>
      <c r="DK215" s="116"/>
      <c r="DL215" s="116"/>
      <c r="DM215" s="116"/>
      <c r="DN215" s="116"/>
      <c r="DO215" s="116"/>
      <c r="DP215" s="116"/>
      <c r="DQ215" s="116"/>
      <c r="DR215" s="116"/>
      <c r="DS215" s="116"/>
      <c r="DT215" s="116"/>
      <c r="DU215" s="116"/>
      <c r="DV215" s="116"/>
      <c r="DW215" s="116"/>
      <c r="DX215" s="116"/>
      <c r="DY215" s="116"/>
      <c r="DZ215" s="116"/>
      <c r="EA215" s="116"/>
      <c r="EB215" s="116"/>
    </row>
    <row r="216" spans="3:132" ht="12.75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  <c r="CX216" s="116"/>
      <c r="CY216" s="116"/>
      <c r="CZ216" s="116"/>
      <c r="DA216" s="116"/>
      <c r="DB216" s="116"/>
      <c r="DC216" s="116"/>
      <c r="DD216" s="116"/>
      <c r="DE216" s="116"/>
      <c r="DF216" s="116"/>
      <c r="DG216" s="116"/>
      <c r="DH216" s="116"/>
      <c r="DI216" s="116"/>
      <c r="DJ216" s="116"/>
      <c r="DK216" s="116"/>
      <c r="DL216" s="116"/>
      <c r="DM216" s="116"/>
      <c r="DN216" s="116"/>
      <c r="DO216" s="116"/>
      <c r="DP216" s="116"/>
      <c r="DQ216" s="116"/>
      <c r="DR216" s="116"/>
      <c r="DS216" s="116"/>
      <c r="DT216" s="116"/>
      <c r="DU216" s="116"/>
      <c r="DV216" s="116"/>
      <c r="DW216" s="116"/>
      <c r="DX216" s="116"/>
      <c r="DY216" s="116"/>
      <c r="DZ216" s="116"/>
      <c r="EA216" s="116"/>
      <c r="EB216" s="116"/>
    </row>
    <row r="217" spans="3:132" ht="12.75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6"/>
      <c r="CO217" s="116"/>
      <c r="CP217" s="116"/>
      <c r="CQ217" s="116"/>
      <c r="CR217" s="116"/>
      <c r="CS217" s="116"/>
      <c r="CT217" s="116"/>
      <c r="CU217" s="116"/>
      <c r="CV217" s="116"/>
      <c r="CW217" s="116"/>
      <c r="CX217" s="116"/>
      <c r="CY217" s="116"/>
      <c r="CZ217" s="116"/>
      <c r="DA217" s="116"/>
      <c r="DB217" s="116"/>
      <c r="DC217" s="116"/>
      <c r="DD217" s="116"/>
      <c r="DE217" s="116"/>
      <c r="DF217" s="116"/>
      <c r="DG217" s="116"/>
      <c r="DH217" s="116"/>
      <c r="DI217" s="116"/>
      <c r="DJ217" s="116"/>
      <c r="DK217" s="116"/>
      <c r="DL217" s="116"/>
      <c r="DM217" s="116"/>
      <c r="DN217" s="116"/>
      <c r="DO217" s="116"/>
      <c r="DP217" s="116"/>
      <c r="DQ217" s="116"/>
      <c r="DR217" s="116"/>
      <c r="DS217" s="116"/>
      <c r="DT217" s="116"/>
      <c r="DU217" s="116"/>
      <c r="DV217" s="116"/>
      <c r="DW217" s="116"/>
      <c r="DX217" s="116"/>
      <c r="DY217" s="116"/>
      <c r="DZ217" s="116"/>
      <c r="EA217" s="116"/>
      <c r="EB217" s="116"/>
    </row>
    <row r="218" spans="3:132" ht="12.75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16"/>
      <c r="DA218" s="116"/>
      <c r="DB218" s="116"/>
      <c r="DC218" s="116"/>
      <c r="DD218" s="116"/>
      <c r="DE218" s="116"/>
      <c r="DF218" s="116"/>
      <c r="DG218" s="116"/>
      <c r="DH218" s="116"/>
      <c r="DI218" s="116"/>
      <c r="DJ218" s="116"/>
      <c r="DK218" s="116"/>
      <c r="DL218" s="116"/>
      <c r="DM218" s="116"/>
      <c r="DN218" s="116"/>
      <c r="DO218" s="116"/>
      <c r="DP218" s="116"/>
      <c r="DQ218" s="116"/>
      <c r="DR218" s="116"/>
      <c r="DS218" s="116"/>
      <c r="DT218" s="116"/>
      <c r="DU218" s="116"/>
      <c r="DV218" s="116"/>
      <c r="DW218" s="116"/>
      <c r="DX218" s="116"/>
      <c r="DY218" s="116"/>
      <c r="DZ218" s="116"/>
      <c r="EA218" s="116"/>
      <c r="EB218" s="116"/>
    </row>
    <row r="219" spans="3:132" ht="12.75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6"/>
      <c r="CO219" s="116"/>
      <c r="CP219" s="116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16"/>
      <c r="DA219" s="116"/>
      <c r="DB219" s="116"/>
      <c r="DC219" s="116"/>
      <c r="DD219" s="116"/>
      <c r="DE219" s="116"/>
      <c r="DF219" s="116"/>
      <c r="DG219" s="116"/>
      <c r="DH219" s="116"/>
      <c r="DI219" s="116"/>
      <c r="DJ219" s="116"/>
      <c r="DK219" s="116"/>
      <c r="DL219" s="116"/>
      <c r="DM219" s="116"/>
      <c r="DN219" s="116"/>
      <c r="DO219" s="116"/>
      <c r="DP219" s="116"/>
      <c r="DQ219" s="116"/>
      <c r="DR219" s="116"/>
      <c r="DS219" s="116"/>
      <c r="DT219" s="116"/>
      <c r="DU219" s="116"/>
      <c r="DV219" s="116"/>
      <c r="DW219" s="116"/>
      <c r="DX219" s="116"/>
      <c r="DY219" s="116"/>
      <c r="DZ219" s="116"/>
      <c r="EA219" s="116"/>
      <c r="EB219" s="116"/>
    </row>
    <row r="220" spans="3:132" ht="12.75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6"/>
      <c r="CO220" s="116"/>
      <c r="CP220" s="116"/>
      <c r="CQ220" s="116"/>
      <c r="CR220" s="116"/>
      <c r="CS220" s="116"/>
      <c r="CT220" s="116"/>
      <c r="CU220" s="116"/>
      <c r="CV220" s="116"/>
      <c r="CW220" s="116"/>
      <c r="CX220" s="116"/>
      <c r="CY220" s="116"/>
      <c r="CZ220" s="116"/>
      <c r="DA220" s="116"/>
      <c r="DB220" s="116"/>
      <c r="DC220" s="116"/>
      <c r="DD220" s="116"/>
      <c r="DE220" s="116"/>
      <c r="DF220" s="116"/>
      <c r="DG220" s="116"/>
      <c r="DH220" s="116"/>
      <c r="DI220" s="116"/>
      <c r="DJ220" s="116"/>
      <c r="DK220" s="116"/>
      <c r="DL220" s="116"/>
      <c r="DM220" s="116"/>
      <c r="DN220" s="116"/>
      <c r="DO220" s="116"/>
      <c r="DP220" s="116"/>
      <c r="DQ220" s="116"/>
      <c r="DR220" s="116"/>
      <c r="DS220" s="116"/>
      <c r="DT220" s="116"/>
      <c r="DU220" s="116"/>
      <c r="DV220" s="116"/>
      <c r="DW220" s="116"/>
      <c r="DX220" s="116"/>
      <c r="DY220" s="116"/>
      <c r="DZ220" s="116"/>
      <c r="EA220" s="116"/>
      <c r="EB220" s="116"/>
    </row>
    <row r="221" spans="3:132" ht="12.75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6"/>
      <c r="DE221" s="116"/>
      <c r="DF221" s="116"/>
      <c r="DG221" s="116"/>
      <c r="DH221" s="116"/>
      <c r="DI221" s="116"/>
      <c r="DJ221" s="116"/>
      <c r="DK221" s="116"/>
      <c r="DL221" s="116"/>
      <c r="DM221" s="116"/>
      <c r="DN221" s="116"/>
      <c r="DO221" s="116"/>
      <c r="DP221" s="116"/>
      <c r="DQ221" s="116"/>
      <c r="DR221" s="116"/>
      <c r="DS221" s="116"/>
      <c r="DT221" s="116"/>
      <c r="DU221" s="116"/>
      <c r="DV221" s="116"/>
      <c r="DW221" s="116"/>
      <c r="DX221" s="116"/>
      <c r="DY221" s="116"/>
      <c r="DZ221" s="116"/>
      <c r="EA221" s="116"/>
      <c r="EB221" s="116"/>
    </row>
    <row r="222" spans="3:132" ht="12.75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  <c r="CJ222" s="116"/>
      <c r="CK222" s="116"/>
      <c r="CL222" s="116"/>
      <c r="CM222" s="116"/>
      <c r="CN222" s="116"/>
      <c r="CO222" s="116"/>
      <c r="CP222" s="116"/>
      <c r="CQ222" s="116"/>
      <c r="CR222" s="116"/>
      <c r="CS222" s="116"/>
      <c r="CT222" s="116"/>
      <c r="CU222" s="116"/>
      <c r="CV222" s="116"/>
      <c r="CW222" s="116"/>
      <c r="CX222" s="116"/>
      <c r="CY222" s="116"/>
      <c r="CZ222" s="116"/>
      <c r="DA222" s="116"/>
      <c r="DB222" s="116"/>
      <c r="DC222" s="116"/>
      <c r="DD222" s="116"/>
      <c r="DE222" s="116"/>
      <c r="DF222" s="116"/>
      <c r="DG222" s="116"/>
      <c r="DH222" s="116"/>
      <c r="DI222" s="116"/>
      <c r="DJ222" s="116"/>
      <c r="DK222" s="116"/>
      <c r="DL222" s="116"/>
      <c r="DM222" s="116"/>
      <c r="DN222" s="116"/>
      <c r="DO222" s="116"/>
      <c r="DP222" s="116"/>
      <c r="DQ222" s="116"/>
      <c r="DR222" s="116"/>
      <c r="DS222" s="116"/>
      <c r="DT222" s="116"/>
      <c r="DU222" s="116"/>
      <c r="DV222" s="116"/>
      <c r="DW222" s="116"/>
      <c r="DX222" s="116"/>
      <c r="DY222" s="116"/>
      <c r="DZ222" s="116"/>
      <c r="EA222" s="116"/>
      <c r="EB222" s="116"/>
    </row>
    <row r="223" spans="3:132" ht="12.75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6"/>
      <c r="DE223" s="116"/>
      <c r="DF223" s="116"/>
      <c r="DG223" s="116"/>
      <c r="DH223" s="116"/>
      <c r="DI223" s="116"/>
      <c r="DJ223" s="116"/>
      <c r="DK223" s="116"/>
      <c r="DL223" s="116"/>
      <c r="DM223" s="116"/>
      <c r="DN223" s="116"/>
      <c r="DO223" s="116"/>
      <c r="DP223" s="116"/>
      <c r="DQ223" s="116"/>
      <c r="DR223" s="116"/>
      <c r="DS223" s="116"/>
      <c r="DT223" s="116"/>
      <c r="DU223" s="116"/>
      <c r="DV223" s="116"/>
      <c r="DW223" s="116"/>
      <c r="DX223" s="116"/>
      <c r="DY223" s="116"/>
      <c r="DZ223" s="116"/>
      <c r="EA223" s="116"/>
      <c r="EB223" s="116"/>
    </row>
    <row r="224" spans="3:132" ht="12.75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16"/>
      <c r="DB224" s="116"/>
      <c r="DC224" s="116"/>
      <c r="DD224" s="116"/>
      <c r="DE224" s="116"/>
      <c r="DF224" s="116"/>
      <c r="DG224" s="116"/>
      <c r="DH224" s="116"/>
      <c r="DI224" s="116"/>
      <c r="DJ224" s="116"/>
      <c r="DK224" s="116"/>
      <c r="DL224" s="116"/>
      <c r="DM224" s="116"/>
      <c r="DN224" s="116"/>
      <c r="DO224" s="116"/>
      <c r="DP224" s="116"/>
      <c r="DQ224" s="116"/>
      <c r="DR224" s="116"/>
      <c r="DS224" s="116"/>
      <c r="DT224" s="116"/>
      <c r="DU224" s="116"/>
      <c r="DV224" s="116"/>
      <c r="DW224" s="116"/>
      <c r="DX224" s="116"/>
      <c r="DY224" s="116"/>
      <c r="DZ224" s="116"/>
      <c r="EA224" s="116"/>
      <c r="EB224" s="116"/>
    </row>
    <row r="225" spans="3:132" ht="12.75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6"/>
      <c r="DE225" s="116"/>
      <c r="DF225" s="116"/>
      <c r="DG225" s="116"/>
      <c r="DH225" s="116"/>
      <c r="DI225" s="116"/>
      <c r="DJ225" s="116"/>
      <c r="DK225" s="116"/>
      <c r="DL225" s="116"/>
      <c r="DM225" s="116"/>
      <c r="DN225" s="116"/>
      <c r="DO225" s="116"/>
      <c r="DP225" s="116"/>
      <c r="DQ225" s="116"/>
      <c r="DR225" s="116"/>
      <c r="DS225" s="116"/>
      <c r="DT225" s="116"/>
      <c r="DU225" s="116"/>
      <c r="DV225" s="116"/>
      <c r="DW225" s="116"/>
      <c r="DX225" s="116"/>
      <c r="DY225" s="116"/>
      <c r="DZ225" s="116"/>
      <c r="EA225" s="116"/>
      <c r="EB225" s="116"/>
    </row>
    <row r="226" spans="3:132" ht="12.75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16"/>
      <c r="DA226" s="116"/>
      <c r="DB226" s="116"/>
      <c r="DC226" s="116"/>
      <c r="DD226" s="116"/>
      <c r="DE226" s="116"/>
      <c r="DF226" s="116"/>
      <c r="DG226" s="116"/>
      <c r="DH226" s="116"/>
      <c r="DI226" s="116"/>
      <c r="DJ226" s="116"/>
      <c r="DK226" s="116"/>
      <c r="DL226" s="116"/>
      <c r="DM226" s="116"/>
      <c r="DN226" s="116"/>
      <c r="DO226" s="116"/>
      <c r="DP226" s="116"/>
      <c r="DQ226" s="116"/>
      <c r="DR226" s="116"/>
      <c r="DS226" s="116"/>
      <c r="DT226" s="116"/>
      <c r="DU226" s="116"/>
      <c r="DV226" s="116"/>
      <c r="DW226" s="116"/>
      <c r="DX226" s="116"/>
      <c r="DY226" s="116"/>
      <c r="DZ226" s="116"/>
      <c r="EA226" s="116"/>
      <c r="EB226" s="116"/>
    </row>
    <row r="227" spans="3:132" ht="12.75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16"/>
      <c r="DB227" s="116"/>
      <c r="DC227" s="116"/>
      <c r="DD227" s="116"/>
      <c r="DE227" s="116"/>
      <c r="DF227" s="116"/>
      <c r="DG227" s="116"/>
      <c r="DH227" s="116"/>
      <c r="DI227" s="116"/>
      <c r="DJ227" s="116"/>
      <c r="DK227" s="116"/>
      <c r="DL227" s="116"/>
      <c r="DM227" s="116"/>
      <c r="DN227" s="116"/>
      <c r="DO227" s="116"/>
      <c r="DP227" s="116"/>
      <c r="DQ227" s="116"/>
      <c r="DR227" s="116"/>
      <c r="DS227" s="116"/>
      <c r="DT227" s="116"/>
      <c r="DU227" s="116"/>
      <c r="DV227" s="116"/>
      <c r="DW227" s="116"/>
      <c r="DX227" s="116"/>
      <c r="DY227" s="116"/>
      <c r="DZ227" s="116"/>
      <c r="EA227" s="116"/>
      <c r="EB227" s="116"/>
    </row>
    <row r="228" spans="3:132" ht="12.75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/>
      <c r="CL228" s="116"/>
      <c r="CM228" s="116"/>
      <c r="CN228" s="116"/>
      <c r="CO228" s="116"/>
      <c r="CP228" s="116"/>
      <c r="CQ228" s="116"/>
      <c r="CR228" s="116"/>
      <c r="CS228" s="116"/>
      <c r="CT228" s="116"/>
      <c r="CU228" s="116"/>
      <c r="CV228" s="116"/>
      <c r="CW228" s="116"/>
      <c r="CX228" s="116"/>
      <c r="CY228" s="116"/>
      <c r="CZ228" s="116"/>
      <c r="DA228" s="116"/>
      <c r="DB228" s="116"/>
      <c r="DC228" s="116"/>
      <c r="DD228" s="116"/>
      <c r="DE228" s="116"/>
      <c r="DF228" s="116"/>
      <c r="DG228" s="116"/>
      <c r="DH228" s="116"/>
      <c r="DI228" s="116"/>
      <c r="DJ228" s="116"/>
      <c r="DK228" s="116"/>
      <c r="DL228" s="116"/>
      <c r="DM228" s="116"/>
      <c r="DN228" s="116"/>
      <c r="DO228" s="116"/>
      <c r="DP228" s="116"/>
      <c r="DQ228" s="116"/>
      <c r="DR228" s="116"/>
      <c r="DS228" s="116"/>
      <c r="DT228" s="116"/>
      <c r="DU228" s="116"/>
      <c r="DV228" s="116"/>
      <c r="DW228" s="116"/>
      <c r="DX228" s="116"/>
      <c r="DY228" s="116"/>
      <c r="DZ228" s="116"/>
      <c r="EA228" s="116"/>
      <c r="EB228" s="116"/>
    </row>
    <row r="229" spans="3:132" ht="12.75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16"/>
      <c r="DB229" s="116"/>
      <c r="DC229" s="116"/>
      <c r="DD229" s="116"/>
      <c r="DE229" s="116"/>
      <c r="DF229" s="116"/>
      <c r="DG229" s="116"/>
      <c r="DH229" s="116"/>
      <c r="DI229" s="116"/>
      <c r="DJ229" s="116"/>
      <c r="DK229" s="116"/>
      <c r="DL229" s="116"/>
      <c r="DM229" s="116"/>
      <c r="DN229" s="116"/>
      <c r="DO229" s="116"/>
      <c r="DP229" s="116"/>
      <c r="DQ229" s="116"/>
      <c r="DR229" s="116"/>
      <c r="DS229" s="116"/>
      <c r="DT229" s="116"/>
      <c r="DU229" s="116"/>
      <c r="DV229" s="116"/>
      <c r="DW229" s="116"/>
      <c r="DX229" s="116"/>
      <c r="DY229" s="116"/>
      <c r="DZ229" s="116"/>
      <c r="EA229" s="116"/>
      <c r="EB229" s="116"/>
    </row>
    <row r="230" spans="3:132" ht="12.75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/>
      <c r="CL230" s="116"/>
      <c r="CM230" s="116"/>
      <c r="CN230" s="116"/>
      <c r="CO230" s="116"/>
      <c r="CP230" s="116"/>
      <c r="CQ230" s="116"/>
      <c r="CR230" s="116"/>
      <c r="CS230" s="116"/>
      <c r="CT230" s="116"/>
      <c r="CU230" s="116"/>
      <c r="CV230" s="116"/>
      <c r="CW230" s="116"/>
      <c r="CX230" s="116"/>
      <c r="CY230" s="116"/>
      <c r="CZ230" s="116"/>
      <c r="DA230" s="116"/>
      <c r="DB230" s="116"/>
      <c r="DC230" s="116"/>
      <c r="DD230" s="116"/>
      <c r="DE230" s="116"/>
      <c r="DF230" s="116"/>
      <c r="DG230" s="116"/>
      <c r="DH230" s="116"/>
      <c r="DI230" s="116"/>
      <c r="DJ230" s="116"/>
      <c r="DK230" s="116"/>
      <c r="DL230" s="116"/>
      <c r="DM230" s="116"/>
      <c r="DN230" s="116"/>
      <c r="DO230" s="116"/>
      <c r="DP230" s="116"/>
      <c r="DQ230" s="116"/>
      <c r="DR230" s="116"/>
      <c r="DS230" s="116"/>
      <c r="DT230" s="116"/>
      <c r="DU230" s="116"/>
      <c r="DV230" s="116"/>
      <c r="DW230" s="116"/>
      <c r="DX230" s="116"/>
      <c r="DY230" s="116"/>
      <c r="DZ230" s="116"/>
      <c r="EA230" s="116"/>
      <c r="EB230" s="116"/>
    </row>
    <row r="231" spans="3:132" ht="12.75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6"/>
      <c r="CO231" s="116"/>
      <c r="CP231" s="116"/>
      <c r="CQ231" s="116"/>
      <c r="CR231" s="116"/>
      <c r="CS231" s="116"/>
      <c r="CT231" s="116"/>
      <c r="CU231" s="116"/>
      <c r="CV231" s="116"/>
      <c r="CW231" s="116"/>
      <c r="CX231" s="116"/>
      <c r="CY231" s="116"/>
      <c r="CZ231" s="116"/>
      <c r="DA231" s="116"/>
      <c r="DB231" s="116"/>
      <c r="DC231" s="116"/>
      <c r="DD231" s="116"/>
      <c r="DE231" s="116"/>
      <c r="DF231" s="116"/>
      <c r="DG231" s="116"/>
      <c r="DH231" s="116"/>
      <c r="DI231" s="116"/>
      <c r="DJ231" s="116"/>
      <c r="DK231" s="116"/>
      <c r="DL231" s="116"/>
      <c r="DM231" s="116"/>
      <c r="DN231" s="116"/>
      <c r="DO231" s="116"/>
      <c r="DP231" s="116"/>
      <c r="DQ231" s="116"/>
      <c r="DR231" s="116"/>
      <c r="DS231" s="116"/>
      <c r="DT231" s="116"/>
      <c r="DU231" s="116"/>
      <c r="DV231" s="116"/>
      <c r="DW231" s="116"/>
      <c r="DX231" s="116"/>
      <c r="DY231" s="116"/>
      <c r="DZ231" s="116"/>
      <c r="EA231" s="116"/>
      <c r="EB231" s="116"/>
    </row>
    <row r="232" spans="3:132" ht="12.75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6"/>
      <c r="CO232" s="116"/>
      <c r="CP232" s="116"/>
      <c r="CQ232" s="116"/>
      <c r="CR232" s="116"/>
      <c r="CS232" s="116"/>
      <c r="CT232" s="116"/>
      <c r="CU232" s="116"/>
      <c r="CV232" s="116"/>
      <c r="CW232" s="116"/>
      <c r="CX232" s="116"/>
      <c r="CY232" s="116"/>
      <c r="CZ232" s="116"/>
      <c r="DA232" s="116"/>
      <c r="DB232" s="116"/>
      <c r="DC232" s="116"/>
      <c r="DD232" s="116"/>
      <c r="DE232" s="116"/>
      <c r="DF232" s="116"/>
      <c r="DG232" s="116"/>
      <c r="DH232" s="116"/>
      <c r="DI232" s="116"/>
      <c r="DJ232" s="116"/>
      <c r="DK232" s="116"/>
      <c r="DL232" s="116"/>
      <c r="DM232" s="116"/>
      <c r="DN232" s="116"/>
      <c r="DO232" s="116"/>
      <c r="DP232" s="116"/>
      <c r="DQ232" s="116"/>
      <c r="DR232" s="116"/>
      <c r="DS232" s="116"/>
      <c r="DT232" s="116"/>
      <c r="DU232" s="116"/>
      <c r="DV232" s="116"/>
      <c r="DW232" s="116"/>
      <c r="DX232" s="116"/>
      <c r="DY232" s="116"/>
      <c r="DZ232" s="116"/>
      <c r="EA232" s="116"/>
      <c r="EB232" s="116"/>
    </row>
    <row r="233" spans="3:132" ht="12.75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  <c r="CJ233" s="116"/>
      <c r="CK233" s="116"/>
      <c r="CL233" s="116"/>
      <c r="CM233" s="116"/>
      <c r="CN233" s="116"/>
      <c r="CO233" s="116"/>
      <c r="CP233" s="116"/>
      <c r="CQ233" s="116"/>
      <c r="CR233" s="116"/>
      <c r="CS233" s="116"/>
      <c r="CT233" s="116"/>
      <c r="CU233" s="116"/>
      <c r="CV233" s="116"/>
      <c r="CW233" s="116"/>
      <c r="CX233" s="116"/>
      <c r="CY233" s="116"/>
      <c r="CZ233" s="116"/>
      <c r="DA233" s="116"/>
      <c r="DB233" s="116"/>
      <c r="DC233" s="116"/>
      <c r="DD233" s="116"/>
      <c r="DE233" s="116"/>
      <c r="DF233" s="116"/>
      <c r="DG233" s="116"/>
      <c r="DH233" s="116"/>
      <c r="DI233" s="116"/>
      <c r="DJ233" s="116"/>
      <c r="DK233" s="116"/>
      <c r="DL233" s="116"/>
      <c r="DM233" s="116"/>
      <c r="DN233" s="116"/>
      <c r="DO233" s="116"/>
      <c r="DP233" s="116"/>
      <c r="DQ233" s="116"/>
      <c r="DR233" s="116"/>
      <c r="DS233" s="116"/>
      <c r="DT233" s="116"/>
      <c r="DU233" s="116"/>
      <c r="DV233" s="116"/>
      <c r="DW233" s="116"/>
      <c r="DX233" s="116"/>
      <c r="DY233" s="116"/>
      <c r="DZ233" s="116"/>
      <c r="EA233" s="116"/>
      <c r="EB233" s="116"/>
    </row>
    <row r="234" spans="3:132" ht="12.75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/>
      <c r="CL234" s="116"/>
      <c r="CM234" s="116"/>
      <c r="CN234" s="116"/>
      <c r="CO234" s="116"/>
      <c r="CP234" s="116"/>
      <c r="CQ234" s="116"/>
      <c r="CR234" s="116"/>
      <c r="CS234" s="116"/>
      <c r="CT234" s="116"/>
      <c r="CU234" s="116"/>
      <c r="CV234" s="116"/>
      <c r="CW234" s="116"/>
      <c r="CX234" s="116"/>
      <c r="CY234" s="116"/>
      <c r="CZ234" s="116"/>
      <c r="DA234" s="116"/>
      <c r="DB234" s="116"/>
      <c r="DC234" s="116"/>
      <c r="DD234" s="116"/>
      <c r="DE234" s="116"/>
      <c r="DF234" s="116"/>
      <c r="DG234" s="116"/>
      <c r="DH234" s="116"/>
      <c r="DI234" s="116"/>
      <c r="DJ234" s="116"/>
      <c r="DK234" s="116"/>
      <c r="DL234" s="116"/>
      <c r="DM234" s="116"/>
      <c r="DN234" s="116"/>
      <c r="DO234" s="116"/>
      <c r="DP234" s="116"/>
      <c r="DQ234" s="116"/>
      <c r="DR234" s="116"/>
      <c r="DS234" s="116"/>
      <c r="DT234" s="116"/>
      <c r="DU234" s="116"/>
      <c r="DV234" s="116"/>
      <c r="DW234" s="116"/>
      <c r="DX234" s="116"/>
      <c r="DY234" s="116"/>
      <c r="DZ234" s="116"/>
      <c r="EA234" s="116"/>
      <c r="EB234" s="116"/>
    </row>
    <row r="235" spans="3:132" ht="12.75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6"/>
      <c r="CP235" s="116"/>
      <c r="CQ235" s="116"/>
      <c r="CR235" s="116"/>
      <c r="CS235" s="116"/>
      <c r="CT235" s="116"/>
      <c r="CU235" s="116"/>
      <c r="CV235" s="116"/>
      <c r="CW235" s="116"/>
      <c r="CX235" s="116"/>
      <c r="CY235" s="116"/>
      <c r="CZ235" s="116"/>
      <c r="DA235" s="116"/>
      <c r="DB235" s="116"/>
      <c r="DC235" s="116"/>
      <c r="DD235" s="116"/>
      <c r="DE235" s="116"/>
      <c r="DF235" s="116"/>
      <c r="DG235" s="116"/>
      <c r="DH235" s="116"/>
      <c r="DI235" s="116"/>
      <c r="DJ235" s="116"/>
      <c r="DK235" s="116"/>
      <c r="DL235" s="116"/>
      <c r="DM235" s="116"/>
      <c r="DN235" s="116"/>
      <c r="DO235" s="116"/>
      <c r="DP235" s="116"/>
      <c r="DQ235" s="116"/>
      <c r="DR235" s="116"/>
      <c r="DS235" s="116"/>
      <c r="DT235" s="116"/>
      <c r="DU235" s="116"/>
      <c r="DV235" s="116"/>
      <c r="DW235" s="116"/>
      <c r="DX235" s="116"/>
      <c r="DY235" s="116"/>
      <c r="DZ235" s="116"/>
      <c r="EA235" s="116"/>
      <c r="EB235" s="116"/>
    </row>
    <row r="236" spans="3:132" ht="12.75"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6"/>
      <c r="CO236" s="116"/>
      <c r="CP236" s="116"/>
      <c r="CQ236" s="116"/>
      <c r="CR236" s="116"/>
      <c r="CS236" s="116"/>
      <c r="CT236" s="116"/>
      <c r="CU236" s="116"/>
      <c r="CV236" s="116"/>
      <c r="CW236" s="116"/>
      <c r="CX236" s="116"/>
      <c r="CY236" s="116"/>
      <c r="CZ236" s="116"/>
      <c r="DA236" s="116"/>
      <c r="DB236" s="116"/>
      <c r="DC236" s="116"/>
      <c r="DD236" s="116"/>
      <c r="DE236" s="116"/>
      <c r="DF236" s="116"/>
      <c r="DG236" s="116"/>
      <c r="DH236" s="116"/>
      <c r="DI236" s="116"/>
      <c r="DJ236" s="116"/>
      <c r="DK236" s="116"/>
      <c r="DL236" s="116"/>
      <c r="DM236" s="116"/>
      <c r="DN236" s="116"/>
      <c r="DO236" s="116"/>
      <c r="DP236" s="116"/>
      <c r="DQ236" s="116"/>
      <c r="DR236" s="116"/>
      <c r="DS236" s="116"/>
      <c r="DT236" s="116"/>
      <c r="DU236" s="116"/>
      <c r="DV236" s="116"/>
      <c r="DW236" s="116"/>
      <c r="DX236" s="116"/>
      <c r="DY236" s="116"/>
      <c r="DZ236" s="116"/>
      <c r="EA236" s="116"/>
      <c r="EB236" s="116"/>
    </row>
    <row r="237" spans="3:132" ht="12.75"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  <c r="CQ237" s="116"/>
      <c r="CR237" s="116"/>
      <c r="CS237" s="116"/>
      <c r="CT237" s="116"/>
      <c r="CU237" s="116"/>
      <c r="CV237" s="116"/>
      <c r="CW237" s="116"/>
      <c r="CX237" s="116"/>
      <c r="CY237" s="116"/>
      <c r="CZ237" s="116"/>
      <c r="DA237" s="116"/>
      <c r="DB237" s="116"/>
      <c r="DC237" s="116"/>
      <c r="DD237" s="116"/>
      <c r="DE237" s="116"/>
      <c r="DF237" s="116"/>
      <c r="DG237" s="116"/>
      <c r="DH237" s="116"/>
      <c r="DI237" s="116"/>
      <c r="DJ237" s="116"/>
      <c r="DK237" s="116"/>
      <c r="DL237" s="116"/>
      <c r="DM237" s="116"/>
      <c r="DN237" s="116"/>
      <c r="DO237" s="116"/>
      <c r="DP237" s="116"/>
      <c r="DQ237" s="116"/>
      <c r="DR237" s="116"/>
      <c r="DS237" s="116"/>
      <c r="DT237" s="116"/>
      <c r="DU237" s="116"/>
      <c r="DV237" s="116"/>
      <c r="DW237" s="116"/>
      <c r="DX237" s="116"/>
      <c r="DY237" s="116"/>
      <c r="DZ237" s="116"/>
      <c r="EA237" s="116"/>
      <c r="EB237" s="116"/>
    </row>
    <row r="238" spans="3:132" ht="12.75"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6"/>
      <c r="CO238" s="116"/>
      <c r="CP238" s="116"/>
      <c r="CQ238" s="116"/>
      <c r="CR238" s="116"/>
      <c r="CS238" s="116"/>
      <c r="CT238" s="116"/>
      <c r="CU238" s="116"/>
      <c r="CV238" s="116"/>
      <c r="CW238" s="116"/>
      <c r="CX238" s="116"/>
      <c r="CY238" s="116"/>
      <c r="CZ238" s="116"/>
      <c r="DA238" s="116"/>
      <c r="DB238" s="116"/>
      <c r="DC238" s="116"/>
      <c r="DD238" s="116"/>
      <c r="DE238" s="116"/>
      <c r="DF238" s="116"/>
      <c r="DG238" s="116"/>
      <c r="DH238" s="116"/>
      <c r="DI238" s="116"/>
      <c r="DJ238" s="116"/>
      <c r="DK238" s="116"/>
      <c r="DL238" s="116"/>
      <c r="DM238" s="116"/>
      <c r="DN238" s="116"/>
      <c r="DO238" s="116"/>
      <c r="DP238" s="116"/>
      <c r="DQ238" s="116"/>
      <c r="DR238" s="116"/>
      <c r="DS238" s="116"/>
      <c r="DT238" s="116"/>
      <c r="DU238" s="116"/>
      <c r="DV238" s="116"/>
      <c r="DW238" s="116"/>
      <c r="DX238" s="116"/>
      <c r="DY238" s="116"/>
      <c r="DZ238" s="116"/>
      <c r="EA238" s="116"/>
      <c r="EB238" s="116"/>
    </row>
    <row r="239" spans="3:132" ht="12.75"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6"/>
      <c r="CO239" s="116"/>
      <c r="CP239" s="116"/>
      <c r="CQ239" s="116"/>
      <c r="CR239" s="116"/>
      <c r="CS239" s="116"/>
      <c r="CT239" s="116"/>
      <c r="CU239" s="116"/>
      <c r="CV239" s="116"/>
      <c r="CW239" s="116"/>
      <c r="CX239" s="116"/>
      <c r="CY239" s="116"/>
      <c r="CZ239" s="116"/>
      <c r="DA239" s="116"/>
      <c r="DB239" s="116"/>
      <c r="DC239" s="116"/>
      <c r="DD239" s="116"/>
      <c r="DE239" s="116"/>
      <c r="DF239" s="116"/>
      <c r="DG239" s="116"/>
      <c r="DH239" s="116"/>
      <c r="DI239" s="116"/>
      <c r="DJ239" s="116"/>
      <c r="DK239" s="116"/>
      <c r="DL239" s="116"/>
      <c r="DM239" s="116"/>
      <c r="DN239" s="116"/>
      <c r="DO239" s="116"/>
      <c r="DP239" s="116"/>
      <c r="DQ239" s="116"/>
      <c r="DR239" s="116"/>
      <c r="DS239" s="116"/>
      <c r="DT239" s="116"/>
      <c r="DU239" s="116"/>
      <c r="DV239" s="116"/>
      <c r="DW239" s="116"/>
      <c r="DX239" s="116"/>
      <c r="DY239" s="116"/>
      <c r="DZ239" s="116"/>
      <c r="EA239" s="116"/>
      <c r="EB239" s="116"/>
    </row>
    <row r="240" spans="3:132" ht="12.75"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  <c r="CJ240" s="116"/>
      <c r="CK240" s="116"/>
      <c r="CL240" s="116"/>
      <c r="CM240" s="116"/>
      <c r="CN240" s="116"/>
      <c r="CO240" s="116"/>
      <c r="CP240" s="116"/>
      <c r="CQ240" s="116"/>
      <c r="CR240" s="116"/>
      <c r="CS240" s="116"/>
      <c r="CT240" s="116"/>
      <c r="CU240" s="116"/>
      <c r="CV240" s="116"/>
      <c r="CW240" s="116"/>
      <c r="CX240" s="116"/>
      <c r="CY240" s="116"/>
      <c r="CZ240" s="116"/>
      <c r="DA240" s="116"/>
      <c r="DB240" s="116"/>
      <c r="DC240" s="116"/>
      <c r="DD240" s="116"/>
      <c r="DE240" s="116"/>
      <c r="DF240" s="116"/>
      <c r="DG240" s="116"/>
      <c r="DH240" s="116"/>
      <c r="DI240" s="116"/>
      <c r="DJ240" s="116"/>
      <c r="DK240" s="116"/>
      <c r="DL240" s="116"/>
      <c r="DM240" s="116"/>
      <c r="DN240" s="116"/>
      <c r="DO240" s="116"/>
      <c r="DP240" s="116"/>
      <c r="DQ240" s="116"/>
      <c r="DR240" s="116"/>
      <c r="DS240" s="116"/>
      <c r="DT240" s="116"/>
      <c r="DU240" s="116"/>
      <c r="DV240" s="116"/>
      <c r="DW240" s="116"/>
      <c r="DX240" s="116"/>
      <c r="DY240" s="116"/>
      <c r="DZ240" s="116"/>
      <c r="EA240" s="116"/>
      <c r="EB240" s="116"/>
    </row>
    <row r="241" spans="3:132" ht="12.75"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6"/>
      <c r="DE241" s="116"/>
      <c r="DF241" s="116"/>
      <c r="DG241" s="116"/>
      <c r="DH241" s="116"/>
      <c r="DI241" s="116"/>
      <c r="DJ241" s="116"/>
      <c r="DK241" s="116"/>
      <c r="DL241" s="116"/>
      <c r="DM241" s="116"/>
      <c r="DN241" s="116"/>
      <c r="DO241" s="116"/>
      <c r="DP241" s="116"/>
      <c r="DQ241" s="116"/>
      <c r="DR241" s="116"/>
      <c r="DS241" s="116"/>
      <c r="DT241" s="116"/>
      <c r="DU241" s="116"/>
      <c r="DV241" s="116"/>
      <c r="DW241" s="116"/>
      <c r="DX241" s="116"/>
      <c r="DY241" s="116"/>
      <c r="DZ241" s="116"/>
      <c r="EA241" s="116"/>
      <c r="EB241" s="116"/>
    </row>
    <row r="242" spans="3:132" ht="12.75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  <c r="CJ242" s="116"/>
      <c r="CK242" s="116"/>
      <c r="CL242" s="116"/>
      <c r="CM242" s="116"/>
      <c r="CN242" s="116"/>
      <c r="CO242" s="116"/>
      <c r="CP242" s="116"/>
      <c r="CQ242" s="116"/>
      <c r="CR242" s="116"/>
      <c r="CS242" s="116"/>
      <c r="CT242" s="116"/>
      <c r="CU242" s="116"/>
      <c r="CV242" s="116"/>
      <c r="CW242" s="116"/>
      <c r="CX242" s="116"/>
      <c r="CY242" s="116"/>
      <c r="CZ242" s="116"/>
      <c r="DA242" s="116"/>
      <c r="DB242" s="116"/>
      <c r="DC242" s="116"/>
      <c r="DD242" s="116"/>
      <c r="DE242" s="116"/>
      <c r="DF242" s="116"/>
      <c r="DG242" s="116"/>
      <c r="DH242" s="116"/>
      <c r="DI242" s="116"/>
      <c r="DJ242" s="116"/>
      <c r="DK242" s="116"/>
      <c r="DL242" s="116"/>
      <c r="DM242" s="116"/>
      <c r="DN242" s="116"/>
      <c r="DO242" s="116"/>
      <c r="DP242" s="116"/>
      <c r="DQ242" s="116"/>
      <c r="DR242" s="116"/>
      <c r="DS242" s="116"/>
      <c r="DT242" s="116"/>
      <c r="DU242" s="116"/>
      <c r="DV242" s="116"/>
      <c r="DW242" s="116"/>
      <c r="DX242" s="116"/>
      <c r="DY242" s="116"/>
      <c r="DZ242" s="116"/>
      <c r="EA242" s="116"/>
      <c r="EB242" s="116"/>
    </row>
    <row r="243" spans="3:132" ht="12.75"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  <c r="CV243" s="116"/>
      <c r="CW243" s="116"/>
      <c r="CX243" s="116"/>
      <c r="CY243" s="116"/>
      <c r="CZ243" s="116"/>
      <c r="DA243" s="116"/>
      <c r="DB243" s="116"/>
      <c r="DC243" s="116"/>
      <c r="DD243" s="116"/>
      <c r="DE243" s="116"/>
      <c r="DF243" s="116"/>
      <c r="DG243" s="116"/>
      <c r="DH243" s="116"/>
      <c r="DI243" s="116"/>
      <c r="DJ243" s="116"/>
      <c r="DK243" s="116"/>
      <c r="DL243" s="116"/>
      <c r="DM243" s="116"/>
      <c r="DN243" s="116"/>
      <c r="DO243" s="116"/>
      <c r="DP243" s="116"/>
      <c r="DQ243" s="116"/>
      <c r="DR243" s="116"/>
      <c r="DS243" s="116"/>
      <c r="DT243" s="116"/>
      <c r="DU243" s="116"/>
      <c r="DV243" s="116"/>
      <c r="DW243" s="116"/>
      <c r="DX243" s="116"/>
      <c r="DY243" s="116"/>
      <c r="DZ243" s="116"/>
      <c r="EA243" s="116"/>
      <c r="EB243" s="116"/>
    </row>
    <row r="244" spans="3:132" ht="12.75"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  <c r="CJ244" s="116"/>
      <c r="CK244" s="116"/>
      <c r="CL244" s="116"/>
      <c r="CM244" s="116"/>
      <c r="CN244" s="116"/>
      <c r="CO244" s="116"/>
      <c r="CP244" s="116"/>
      <c r="CQ244" s="116"/>
      <c r="CR244" s="116"/>
      <c r="CS244" s="116"/>
      <c r="CT244" s="116"/>
      <c r="CU244" s="116"/>
      <c r="CV244" s="116"/>
      <c r="CW244" s="116"/>
      <c r="CX244" s="116"/>
      <c r="CY244" s="116"/>
      <c r="CZ244" s="116"/>
      <c r="DA244" s="116"/>
      <c r="DB244" s="116"/>
      <c r="DC244" s="116"/>
      <c r="DD244" s="116"/>
      <c r="DE244" s="116"/>
      <c r="DF244" s="116"/>
      <c r="DG244" s="116"/>
      <c r="DH244" s="116"/>
      <c r="DI244" s="116"/>
      <c r="DJ244" s="116"/>
      <c r="DK244" s="116"/>
      <c r="DL244" s="116"/>
      <c r="DM244" s="116"/>
      <c r="DN244" s="116"/>
      <c r="DO244" s="116"/>
      <c r="DP244" s="116"/>
      <c r="DQ244" s="116"/>
      <c r="DR244" s="116"/>
      <c r="DS244" s="116"/>
      <c r="DT244" s="116"/>
      <c r="DU244" s="116"/>
      <c r="DV244" s="116"/>
      <c r="DW244" s="116"/>
      <c r="DX244" s="116"/>
      <c r="DY244" s="116"/>
      <c r="DZ244" s="116"/>
      <c r="EA244" s="116"/>
      <c r="EB244" s="116"/>
    </row>
    <row r="245" spans="3:132" ht="12.75"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  <c r="CJ245" s="116"/>
      <c r="CK245" s="116"/>
      <c r="CL245" s="116"/>
      <c r="CM245" s="116"/>
      <c r="CN245" s="116"/>
      <c r="CO245" s="116"/>
      <c r="CP245" s="116"/>
      <c r="CQ245" s="116"/>
      <c r="CR245" s="116"/>
      <c r="CS245" s="116"/>
      <c r="CT245" s="116"/>
      <c r="CU245" s="116"/>
      <c r="CV245" s="116"/>
      <c r="CW245" s="116"/>
      <c r="CX245" s="116"/>
      <c r="CY245" s="116"/>
      <c r="CZ245" s="116"/>
      <c r="DA245" s="116"/>
      <c r="DB245" s="116"/>
      <c r="DC245" s="116"/>
      <c r="DD245" s="116"/>
      <c r="DE245" s="116"/>
      <c r="DF245" s="116"/>
      <c r="DG245" s="116"/>
      <c r="DH245" s="116"/>
      <c r="DI245" s="116"/>
      <c r="DJ245" s="116"/>
      <c r="DK245" s="116"/>
      <c r="DL245" s="116"/>
      <c r="DM245" s="116"/>
      <c r="DN245" s="116"/>
      <c r="DO245" s="116"/>
      <c r="DP245" s="116"/>
      <c r="DQ245" s="116"/>
      <c r="DR245" s="116"/>
      <c r="DS245" s="116"/>
      <c r="DT245" s="116"/>
      <c r="DU245" s="116"/>
      <c r="DV245" s="116"/>
      <c r="DW245" s="116"/>
      <c r="DX245" s="116"/>
      <c r="DY245" s="116"/>
      <c r="DZ245" s="116"/>
      <c r="EA245" s="116"/>
      <c r="EB245" s="116"/>
    </row>
    <row r="246" spans="3:132" ht="12.75"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  <c r="CJ246" s="116"/>
      <c r="CK246" s="116"/>
      <c r="CL246" s="116"/>
      <c r="CM246" s="116"/>
      <c r="CN246" s="116"/>
      <c r="CO246" s="116"/>
      <c r="CP246" s="116"/>
      <c r="CQ246" s="116"/>
      <c r="CR246" s="116"/>
      <c r="CS246" s="116"/>
      <c r="CT246" s="116"/>
      <c r="CU246" s="116"/>
      <c r="CV246" s="116"/>
      <c r="CW246" s="116"/>
      <c r="CX246" s="116"/>
      <c r="CY246" s="116"/>
      <c r="CZ246" s="116"/>
      <c r="DA246" s="116"/>
      <c r="DB246" s="116"/>
      <c r="DC246" s="116"/>
      <c r="DD246" s="116"/>
      <c r="DE246" s="116"/>
      <c r="DF246" s="116"/>
      <c r="DG246" s="116"/>
      <c r="DH246" s="116"/>
      <c r="DI246" s="116"/>
      <c r="DJ246" s="116"/>
      <c r="DK246" s="116"/>
      <c r="DL246" s="116"/>
      <c r="DM246" s="116"/>
      <c r="DN246" s="116"/>
      <c r="DO246" s="116"/>
      <c r="DP246" s="116"/>
      <c r="DQ246" s="116"/>
      <c r="DR246" s="116"/>
      <c r="DS246" s="116"/>
      <c r="DT246" s="116"/>
      <c r="DU246" s="116"/>
      <c r="DV246" s="116"/>
      <c r="DW246" s="116"/>
      <c r="DX246" s="116"/>
      <c r="DY246" s="116"/>
      <c r="DZ246" s="116"/>
      <c r="EA246" s="116"/>
      <c r="EB246" s="116"/>
    </row>
    <row r="247" spans="3:132" ht="12.75"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  <c r="CW247" s="116"/>
      <c r="CX247" s="116"/>
      <c r="CY247" s="116"/>
      <c r="CZ247" s="116"/>
      <c r="DA247" s="116"/>
      <c r="DB247" s="116"/>
      <c r="DC247" s="116"/>
      <c r="DD247" s="116"/>
      <c r="DE247" s="116"/>
      <c r="DF247" s="116"/>
      <c r="DG247" s="116"/>
      <c r="DH247" s="116"/>
      <c r="DI247" s="116"/>
      <c r="DJ247" s="116"/>
      <c r="DK247" s="116"/>
      <c r="DL247" s="116"/>
      <c r="DM247" s="116"/>
      <c r="DN247" s="116"/>
      <c r="DO247" s="116"/>
      <c r="DP247" s="116"/>
      <c r="DQ247" s="116"/>
      <c r="DR247" s="116"/>
      <c r="DS247" s="116"/>
      <c r="DT247" s="116"/>
      <c r="DU247" s="116"/>
      <c r="DV247" s="116"/>
      <c r="DW247" s="116"/>
      <c r="DX247" s="116"/>
      <c r="DY247" s="116"/>
      <c r="DZ247" s="116"/>
      <c r="EA247" s="116"/>
      <c r="EB247" s="116"/>
    </row>
    <row r="248" spans="3:132" ht="12.75"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  <c r="CJ248" s="116"/>
      <c r="CK248" s="116"/>
      <c r="CL248" s="116"/>
      <c r="CM248" s="116"/>
      <c r="CN248" s="116"/>
      <c r="CO248" s="116"/>
      <c r="CP248" s="116"/>
      <c r="CQ248" s="116"/>
      <c r="CR248" s="116"/>
      <c r="CS248" s="116"/>
      <c r="CT248" s="116"/>
      <c r="CU248" s="116"/>
      <c r="CV248" s="116"/>
      <c r="CW248" s="116"/>
      <c r="CX248" s="116"/>
      <c r="CY248" s="116"/>
      <c r="CZ248" s="116"/>
      <c r="DA248" s="116"/>
      <c r="DB248" s="116"/>
      <c r="DC248" s="116"/>
      <c r="DD248" s="116"/>
      <c r="DE248" s="116"/>
      <c r="DF248" s="116"/>
      <c r="DG248" s="116"/>
      <c r="DH248" s="116"/>
      <c r="DI248" s="116"/>
      <c r="DJ248" s="116"/>
      <c r="DK248" s="116"/>
      <c r="DL248" s="116"/>
      <c r="DM248" s="116"/>
      <c r="DN248" s="116"/>
      <c r="DO248" s="116"/>
      <c r="DP248" s="116"/>
      <c r="DQ248" s="116"/>
      <c r="DR248" s="116"/>
      <c r="DS248" s="116"/>
      <c r="DT248" s="116"/>
      <c r="DU248" s="116"/>
      <c r="DV248" s="116"/>
      <c r="DW248" s="116"/>
      <c r="DX248" s="116"/>
      <c r="DY248" s="116"/>
      <c r="DZ248" s="116"/>
      <c r="EA248" s="116"/>
      <c r="EB248" s="116"/>
    </row>
    <row r="249" spans="3:132" ht="12.75"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  <c r="CJ249" s="116"/>
      <c r="CK249" s="116"/>
      <c r="CL249" s="116"/>
      <c r="CM249" s="116"/>
      <c r="CN249" s="116"/>
      <c r="CO249" s="116"/>
      <c r="CP249" s="116"/>
      <c r="CQ249" s="116"/>
      <c r="CR249" s="116"/>
      <c r="CS249" s="116"/>
      <c r="CT249" s="116"/>
      <c r="CU249" s="116"/>
      <c r="CV249" s="116"/>
      <c r="CW249" s="116"/>
      <c r="CX249" s="116"/>
      <c r="CY249" s="116"/>
      <c r="CZ249" s="116"/>
      <c r="DA249" s="116"/>
      <c r="DB249" s="116"/>
      <c r="DC249" s="116"/>
      <c r="DD249" s="116"/>
      <c r="DE249" s="116"/>
      <c r="DF249" s="116"/>
      <c r="DG249" s="116"/>
      <c r="DH249" s="116"/>
      <c r="DI249" s="116"/>
      <c r="DJ249" s="116"/>
      <c r="DK249" s="116"/>
      <c r="DL249" s="116"/>
      <c r="DM249" s="116"/>
      <c r="DN249" s="116"/>
      <c r="DO249" s="116"/>
      <c r="DP249" s="116"/>
      <c r="DQ249" s="116"/>
      <c r="DR249" s="116"/>
      <c r="DS249" s="116"/>
      <c r="DT249" s="116"/>
      <c r="DU249" s="116"/>
      <c r="DV249" s="116"/>
      <c r="DW249" s="116"/>
      <c r="DX249" s="116"/>
      <c r="DY249" s="116"/>
      <c r="DZ249" s="116"/>
      <c r="EA249" s="116"/>
      <c r="EB249" s="116"/>
    </row>
    <row r="250" spans="3:132" ht="12.75"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  <c r="CJ250" s="116"/>
      <c r="CK250" s="116"/>
      <c r="CL250" s="116"/>
      <c r="CM250" s="116"/>
      <c r="CN250" s="116"/>
      <c r="CO250" s="116"/>
      <c r="CP250" s="116"/>
      <c r="CQ250" s="116"/>
      <c r="CR250" s="116"/>
      <c r="CS250" s="116"/>
      <c r="CT250" s="116"/>
      <c r="CU250" s="116"/>
      <c r="CV250" s="116"/>
      <c r="CW250" s="116"/>
      <c r="CX250" s="116"/>
      <c r="CY250" s="116"/>
      <c r="CZ250" s="116"/>
      <c r="DA250" s="116"/>
      <c r="DB250" s="116"/>
      <c r="DC250" s="116"/>
      <c r="DD250" s="116"/>
      <c r="DE250" s="116"/>
      <c r="DF250" s="116"/>
      <c r="DG250" s="116"/>
      <c r="DH250" s="116"/>
      <c r="DI250" s="116"/>
      <c r="DJ250" s="116"/>
      <c r="DK250" s="116"/>
      <c r="DL250" s="116"/>
      <c r="DM250" s="116"/>
      <c r="DN250" s="116"/>
      <c r="DO250" s="116"/>
      <c r="DP250" s="116"/>
      <c r="DQ250" s="116"/>
      <c r="DR250" s="116"/>
      <c r="DS250" s="116"/>
      <c r="DT250" s="116"/>
      <c r="DU250" s="116"/>
      <c r="DV250" s="116"/>
      <c r="DW250" s="116"/>
      <c r="DX250" s="116"/>
      <c r="DY250" s="116"/>
      <c r="DZ250" s="116"/>
      <c r="EA250" s="116"/>
      <c r="EB250" s="116"/>
    </row>
    <row r="251" spans="3:132" ht="15"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44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  <c r="CJ251" s="116"/>
      <c r="CK251" s="116"/>
      <c r="CL251" s="116"/>
      <c r="CM251" s="116"/>
      <c r="CN251" s="116"/>
      <c r="CO251" s="116"/>
      <c r="CP251" s="116"/>
      <c r="CQ251" s="116"/>
      <c r="CR251" s="116"/>
      <c r="CS251" s="116"/>
      <c r="CT251" s="116"/>
      <c r="CU251" s="116"/>
      <c r="CV251" s="116"/>
      <c r="CW251" s="116"/>
      <c r="CX251" s="116"/>
      <c r="CY251" s="116"/>
      <c r="CZ251" s="116"/>
      <c r="DA251" s="116"/>
      <c r="DB251" s="116"/>
      <c r="DC251" s="116"/>
      <c r="DD251" s="116"/>
      <c r="DE251" s="116"/>
      <c r="DF251" s="116"/>
      <c r="DG251" s="116"/>
      <c r="DH251" s="116"/>
      <c r="DI251" s="116"/>
      <c r="DJ251" s="116"/>
      <c r="DK251" s="116"/>
      <c r="DL251" s="116"/>
      <c r="DM251" s="116"/>
      <c r="DN251" s="116"/>
      <c r="DO251" s="116"/>
      <c r="DP251" s="116"/>
      <c r="DQ251" s="116"/>
      <c r="DR251" s="116"/>
      <c r="DS251" s="116"/>
      <c r="DT251" s="116"/>
      <c r="DU251" s="116"/>
      <c r="DV251" s="116"/>
      <c r="DW251" s="116"/>
      <c r="DX251" s="116"/>
      <c r="DY251" s="116"/>
      <c r="DZ251" s="116"/>
      <c r="EA251" s="116"/>
      <c r="EB251" s="116"/>
    </row>
    <row r="252" spans="3:132" ht="12.75"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  <c r="CJ252" s="116"/>
      <c r="CK252" s="116"/>
      <c r="CL252" s="116"/>
      <c r="CM252" s="116"/>
      <c r="CN252" s="116"/>
      <c r="CO252" s="116"/>
      <c r="CP252" s="116"/>
      <c r="CQ252" s="116"/>
      <c r="CR252" s="116"/>
      <c r="CS252" s="116"/>
      <c r="CT252" s="116"/>
      <c r="CU252" s="116"/>
      <c r="CV252" s="116"/>
      <c r="CW252" s="116"/>
      <c r="CX252" s="116"/>
      <c r="CY252" s="116"/>
      <c r="CZ252" s="116"/>
      <c r="DA252" s="116"/>
      <c r="DB252" s="116"/>
      <c r="DC252" s="116"/>
      <c r="DD252" s="116"/>
      <c r="DE252" s="116"/>
      <c r="DF252" s="116"/>
      <c r="DG252" s="116"/>
      <c r="DH252" s="116"/>
      <c r="DI252" s="116"/>
      <c r="DJ252" s="116"/>
      <c r="DK252" s="116"/>
      <c r="DL252" s="116"/>
      <c r="DM252" s="116"/>
      <c r="DN252" s="116"/>
      <c r="DO252" s="116"/>
      <c r="DP252" s="116"/>
      <c r="DQ252" s="116"/>
      <c r="DR252" s="116"/>
      <c r="DS252" s="116"/>
      <c r="DT252" s="116"/>
      <c r="DU252" s="116"/>
      <c r="DV252" s="116"/>
      <c r="DW252" s="116"/>
      <c r="DX252" s="116"/>
      <c r="DY252" s="116"/>
      <c r="DZ252" s="116"/>
      <c r="EA252" s="116"/>
      <c r="EB252" s="116"/>
    </row>
    <row r="253" spans="3:132" ht="12.75"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  <c r="CJ253" s="116"/>
      <c r="CK253" s="116"/>
      <c r="CL253" s="116"/>
      <c r="CM253" s="116"/>
      <c r="CN253" s="116"/>
      <c r="CO253" s="116"/>
      <c r="CP253" s="116"/>
      <c r="CQ253" s="116"/>
      <c r="CR253" s="116"/>
      <c r="CS253" s="116"/>
      <c r="CT253" s="116"/>
      <c r="CU253" s="116"/>
      <c r="CV253" s="116"/>
      <c r="CW253" s="116"/>
      <c r="CX253" s="116"/>
      <c r="CY253" s="116"/>
      <c r="CZ253" s="116"/>
      <c r="DA253" s="116"/>
      <c r="DB253" s="116"/>
      <c r="DC253" s="116"/>
      <c r="DD253" s="116"/>
      <c r="DE253" s="116"/>
      <c r="DF253" s="116"/>
      <c r="DG253" s="116"/>
      <c r="DH253" s="116"/>
      <c r="DI253" s="116"/>
      <c r="DJ253" s="116"/>
      <c r="DK253" s="116"/>
      <c r="DL253" s="116"/>
      <c r="DM253" s="116"/>
      <c r="DN253" s="116"/>
      <c r="DO253" s="116"/>
      <c r="DP253" s="116"/>
      <c r="DQ253" s="116"/>
      <c r="DR253" s="116"/>
      <c r="DS253" s="116"/>
      <c r="DT253" s="116"/>
      <c r="DU253" s="116"/>
      <c r="DV253" s="116"/>
      <c r="DW253" s="116"/>
      <c r="DX253" s="116"/>
      <c r="DY253" s="116"/>
      <c r="DZ253" s="116"/>
      <c r="EA253" s="116"/>
      <c r="EB253" s="116"/>
    </row>
    <row r="254" spans="3:132" ht="12.75"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  <c r="CJ254" s="116"/>
      <c r="CK254" s="116"/>
      <c r="CL254" s="116"/>
      <c r="CM254" s="116"/>
      <c r="CN254" s="116"/>
      <c r="CO254" s="116"/>
      <c r="CP254" s="116"/>
      <c r="CQ254" s="116"/>
      <c r="CR254" s="116"/>
      <c r="CS254" s="116"/>
      <c r="CT254" s="116"/>
      <c r="CU254" s="116"/>
      <c r="CV254" s="116"/>
      <c r="CW254" s="116"/>
      <c r="CX254" s="116"/>
      <c r="CY254" s="116"/>
      <c r="CZ254" s="116"/>
      <c r="DA254" s="116"/>
      <c r="DB254" s="116"/>
      <c r="DC254" s="116"/>
      <c r="DD254" s="116"/>
      <c r="DE254" s="116"/>
      <c r="DF254" s="116"/>
      <c r="DG254" s="116"/>
      <c r="DH254" s="116"/>
      <c r="DI254" s="116"/>
      <c r="DJ254" s="116"/>
      <c r="DK254" s="116"/>
      <c r="DL254" s="116"/>
      <c r="DM254" s="116"/>
      <c r="DN254" s="116"/>
      <c r="DO254" s="116"/>
      <c r="DP254" s="116"/>
      <c r="DQ254" s="116"/>
      <c r="DR254" s="116"/>
      <c r="DS254" s="116"/>
      <c r="DT254" s="116"/>
      <c r="DU254" s="116"/>
      <c r="DV254" s="116"/>
      <c r="DW254" s="116"/>
      <c r="DX254" s="116"/>
      <c r="DY254" s="116"/>
      <c r="DZ254" s="116"/>
      <c r="EA254" s="116"/>
      <c r="EB254" s="116"/>
    </row>
    <row r="255" spans="3:132" ht="12.75"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  <c r="CJ255" s="116"/>
      <c r="CK255" s="116"/>
      <c r="CL255" s="116"/>
      <c r="CM255" s="116"/>
      <c r="CN255" s="116"/>
      <c r="CO255" s="116"/>
      <c r="CP255" s="116"/>
      <c r="CQ255" s="116"/>
      <c r="CR255" s="116"/>
      <c r="CS255" s="116"/>
      <c r="CT255" s="116"/>
      <c r="CU255" s="116"/>
      <c r="CV255" s="116"/>
      <c r="CW255" s="116"/>
      <c r="CX255" s="116"/>
      <c r="CY255" s="116"/>
      <c r="CZ255" s="116"/>
      <c r="DA255" s="116"/>
      <c r="DB255" s="116"/>
      <c r="DC255" s="116"/>
      <c r="DD255" s="116"/>
      <c r="DE255" s="116"/>
      <c r="DF255" s="116"/>
      <c r="DG255" s="116"/>
      <c r="DH255" s="116"/>
      <c r="DI255" s="116"/>
      <c r="DJ255" s="116"/>
      <c r="DK255" s="116"/>
      <c r="DL255" s="116"/>
      <c r="DM255" s="116"/>
      <c r="DN255" s="116"/>
      <c r="DO255" s="116"/>
      <c r="DP255" s="116"/>
      <c r="DQ255" s="116"/>
      <c r="DR255" s="116"/>
      <c r="DS255" s="116"/>
      <c r="DT255" s="116"/>
      <c r="DU255" s="116"/>
      <c r="DV255" s="116"/>
      <c r="DW255" s="116"/>
      <c r="DX255" s="116"/>
      <c r="DY255" s="116"/>
      <c r="DZ255" s="116"/>
      <c r="EA255" s="116"/>
      <c r="EB255" s="116"/>
    </row>
    <row r="256" spans="3:132" ht="12.75"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  <c r="CJ256" s="116"/>
      <c r="CK256" s="116"/>
      <c r="CL256" s="116"/>
      <c r="CM256" s="116"/>
      <c r="CN256" s="116"/>
      <c r="CO256" s="116"/>
      <c r="CP256" s="116"/>
      <c r="CQ256" s="116"/>
      <c r="CR256" s="116"/>
      <c r="CS256" s="116"/>
      <c r="CT256" s="116"/>
      <c r="CU256" s="116"/>
      <c r="CV256" s="116"/>
      <c r="CW256" s="116"/>
      <c r="CX256" s="116"/>
      <c r="CY256" s="116"/>
      <c r="CZ256" s="116"/>
      <c r="DA256" s="116"/>
      <c r="DB256" s="116"/>
      <c r="DC256" s="116"/>
      <c r="DD256" s="116"/>
      <c r="DE256" s="116"/>
      <c r="DF256" s="116"/>
      <c r="DG256" s="116"/>
      <c r="DH256" s="116"/>
      <c r="DI256" s="116"/>
      <c r="DJ256" s="116"/>
      <c r="DK256" s="116"/>
      <c r="DL256" s="116"/>
      <c r="DM256" s="116"/>
      <c r="DN256" s="116"/>
      <c r="DO256" s="116"/>
      <c r="DP256" s="116"/>
      <c r="DQ256" s="116"/>
      <c r="DR256" s="116"/>
      <c r="DS256" s="116"/>
      <c r="DT256" s="116"/>
      <c r="DU256" s="116"/>
      <c r="DV256" s="116"/>
      <c r="DW256" s="116"/>
      <c r="DX256" s="116"/>
      <c r="DY256" s="116"/>
      <c r="DZ256" s="116"/>
      <c r="EA256" s="116"/>
      <c r="EB256" s="116"/>
    </row>
    <row r="257" spans="3:132" ht="12.75"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  <c r="CJ257" s="116"/>
      <c r="CK257" s="116"/>
      <c r="CL257" s="116"/>
      <c r="CM257" s="116"/>
      <c r="CN257" s="116"/>
      <c r="CO257" s="116"/>
      <c r="CP257" s="116"/>
      <c r="CQ257" s="116"/>
      <c r="CR257" s="116"/>
      <c r="CS257" s="116"/>
      <c r="CT257" s="116"/>
      <c r="CU257" s="116"/>
      <c r="CV257" s="116"/>
      <c r="CW257" s="116"/>
      <c r="CX257" s="116"/>
      <c r="CY257" s="116"/>
      <c r="CZ257" s="116"/>
      <c r="DA257" s="116"/>
      <c r="DB257" s="116"/>
      <c r="DC257" s="116"/>
      <c r="DD257" s="116"/>
      <c r="DE257" s="116"/>
      <c r="DF257" s="116"/>
      <c r="DG257" s="116"/>
      <c r="DH257" s="116"/>
      <c r="DI257" s="116"/>
      <c r="DJ257" s="116"/>
      <c r="DK257" s="116"/>
      <c r="DL257" s="116"/>
      <c r="DM257" s="116"/>
      <c r="DN257" s="116"/>
      <c r="DO257" s="116"/>
      <c r="DP257" s="116"/>
      <c r="DQ257" s="116"/>
      <c r="DR257" s="116"/>
      <c r="DS257" s="116"/>
      <c r="DT257" s="116"/>
      <c r="DU257" s="116"/>
      <c r="DV257" s="116"/>
      <c r="DW257" s="116"/>
      <c r="DX257" s="116"/>
      <c r="DY257" s="116"/>
      <c r="DZ257" s="116"/>
      <c r="EA257" s="116"/>
      <c r="EB257" s="116"/>
    </row>
    <row r="258" spans="3:132" ht="12.75"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/>
      <c r="BG258" s="116"/>
      <c r="BH258" s="116"/>
      <c r="BI258" s="116"/>
      <c r="BJ258" s="116"/>
      <c r="BK258" s="116"/>
      <c r="BL258" s="116"/>
      <c r="BM258" s="116"/>
      <c r="BN258" s="116"/>
      <c r="BO258" s="116"/>
      <c r="BP258" s="116"/>
      <c r="BQ258" s="116"/>
      <c r="BR258" s="116"/>
      <c r="BS258" s="116"/>
      <c r="BT258" s="116"/>
      <c r="BU258" s="116"/>
      <c r="BV258" s="116"/>
      <c r="BW258" s="116"/>
      <c r="BX258" s="116"/>
      <c r="BY258" s="116"/>
      <c r="BZ258" s="116"/>
      <c r="CA258" s="116"/>
      <c r="CB258" s="116"/>
      <c r="CC258" s="116"/>
      <c r="CD258" s="116"/>
      <c r="CE258" s="116"/>
      <c r="CF258" s="116"/>
      <c r="CG258" s="116"/>
      <c r="CH258" s="116"/>
      <c r="CI258" s="116"/>
      <c r="CJ258" s="116"/>
      <c r="CK258" s="116"/>
      <c r="CL258" s="116"/>
      <c r="CM258" s="116"/>
      <c r="CN258" s="116"/>
      <c r="CO258" s="116"/>
      <c r="CP258" s="116"/>
      <c r="CQ258" s="116"/>
      <c r="CR258" s="116"/>
      <c r="CS258" s="116"/>
      <c r="CT258" s="116"/>
      <c r="CU258" s="116"/>
      <c r="CV258" s="116"/>
      <c r="CW258" s="116"/>
      <c r="CX258" s="116"/>
      <c r="CY258" s="116"/>
      <c r="CZ258" s="116"/>
      <c r="DA258" s="116"/>
      <c r="DB258" s="116"/>
      <c r="DC258" s="116"/>
      <c r="DD258" s="116"/>
      <c r="DE258" s="116"/>
      <c r="DF258" s="116"/>
      <c r="DG258" s="116"/>
      <c r="DH258" s="116"/>
      <c r="DI258" s="116"/>
      <c r="DJ258" s="116"/>
      <c r="DK258" s="116"/>
      <c r="DL258" s="116"/>
      <c r="DM258" s="116"/>
      <c r="DN258" s="116"/>
      <c r="DO258" s="116"/>
      <c r="DP258" s="116"/>
      <c r="DQ258" s="116"/>
      <c r="DR258" s="116"/>
      <c r="DS258" s="116"/>
      <c r="DT258" s="116"/>
      <c r="DU258" s="116"/>
      <c r="DV258" s="116"/>
      <c r="DW258" s="116"/>
      <c r="DX258" s="116"/>
      <c r="DY258" s="116"/>
      <c r="DZ258" s="116"/>
      <c r="EA258" s="116"/>
      <c r="EB258" s="116"/>
    </row>
    <row r="259" spans="3:132" ht="12.75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16"/>
      <c r="BZ259" s="116"/>
      <c r="CA259" s="116"/>
      <c r="CB259" s="116"/>
      <c r="CC259" s="116"/>
      <c r="CD259" s="116"/>
      <c r="CE259" s="116"/>
      <c r="CF259" s="116"/>
      <c r="CG259" s="116"/>
      <c r="CH259" s="116"/>
      <c r="CI259" s="116"/>
      <c r="CJ259" s="116"/>
      <c r="CK259" s="116"/>
      <c r="CL259" s="116"/>
      <c r="CM259" s="116"/>
      <c r="CN259" s="116"/>
      <c r="CO259" s="116"/>
      <c r="CP259" s="116"/>
      <c r="CQ259" s="116"/>
      <c r="CR259" s="116"/>
      <c r="CS259" s="116"/>
      <c r="CT259" s="116"/>
      <c r="CU259" s="116"/>
      <c r="CV259" s="116"/>
      <c r="CW259" s="116"/>
      <c r="CX259" s="116"/>
      <c r="CY259" s="116"/>
      <c r="CZ259" s="116"/>
      <c r="DA259" s="116"/>
      <c r="DB259" s="116"/>
      <c r="DC259" s="116"/>
      <c r="DD259" s="116"/>
      <c r="DE259" s="116"/>
      <c r="DF259" s="116"/>
      <c r="DG259" s="116"/>
      <c r="DH259" s="116"/>
      <c r="DI259" s="116"/>
      <c r="DJ259" s="116"/>
      <c r="DK259" s="116"/>
      <c r="DL259" s="116"/>
      <c r="DM259" s="116"/>
      <c r="DN259" s="116"/>
      <c r="DO259" s="116"/>
      <c r="DP259" s="116"/>
      <c r="DQ259" s="116"/>
      <c r="DR259" s="116"/>
      <c r="DS259" s="116"/>
      <c r="DT259" s="116"/>
      <c r="DU259" s="116"/>
      <c r="DV259" s="116"/>
      <c r="DW259" s="116"/>
      <c r="DX259" s="116"/>
      <c r="DY259" s="116"/>
      <c r="DZ259" s="116"/>
      <c r="EA259" s="116"/>
      <c r="EB259" s="116"/>
    </row>
    <row r="260" spans="3:132" ht="12.75"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16"/>
      <c r="BD260" s="116"/>
      <c r="BE260" s="116"/>
      <c r="BF260" s="116"/>
      <c r="BG260" s="116"/>
      <c r="BH260" s="116"/>
      <c r="BI260" s="116"/>
      <c r="BJ260" s="116"/>
      <c r="BK260" s="116"/>
      <c r="BL260" s="116"/>
      <c r="BM260" s="116"/>
      <c r="BN260" s="116"/>
      <c r="BO260" s="116"/>
      <c r="BP260" s="116"/>
      <c r="BQ260" s="116"/>
      <c r="BR260" s="116"/>
      <c r="BS260" s="116"/>
      <c r="BT260" s="116"/>
      <c r="BU260" s="116"/>
      <c r="BV260" s="116"/>
      <c r="BW260" s="116"/>
      <c r="BX260" s="116"/>
      <c r="BY260" s="116"/>
      <c r="BZ260" s="116"/>
      <c r="CA260" s="116"/>
      <c r="CB260" s="116"/>
      <c r="CC260" s="116"/>
      <c r="CD260" s="116"/>
      <c r="CE260" s="116"/>
      <c r="CF260" s="116"/>
      <c r="CG260" s="116"/>
      <c r="CH260" s="116"/>
      <c r="CI260" s="116"/>
      <c r="CJ260" s="116"/>
      <c r="CK260" s="116"/>
      <c r="CL260" s="116"/>
      <c r="CM260" s="116"/>
      <c r="CN260" s="116"/>
      <c r="CO260" s="116"/>
      <c r="CP260" s="116"/>
      <c r="CQ260" s="116"/>
      <c r="CR260" s="116"/>
      <c r="CS260" s="116"/>
      <c r="CT260" s="116"/>
      <c r="CU260" s="116"/>
      <c r="CV260" s="116"/>
      <c r="CW260" s="116"/>
      <c r="CX260" s="116"/>
      <c r="CY260" s="116"/>
      <c r="CZ260" s="116"/>
      <c r="DA260" s="116"/>
      <c r="DB260" s="116"/>
      <c r="DC260" s="116"/>
      <c r="DD260" s="116"/>
      <c r="DE260" s="116"/>
      <c r="DF260" s="116"/>
      <c r="DG260" s="116"/>
      <c r="DH260" s="116"/>
      <c r="DI260" s="116"/>
      <c r="DJ260" s="116"/>
      <c r="DK260" s="116"/>
      <c r="DL260" s="116"/>
      <c r="DM260" s="116"/>
      <c r="DN260" s="116"/>
      <c r="DO260" s="116"/>
      <c r="DP260" s="116"/>
      <c r="DQ260" s="116"/>
      <c r="DR260" s="116"/>
      <c r="DS260" s="116"/>
      <c r="DT260" s="116"/>
      <c r="DU260" s="116"/>
      <c r="DV260" s="116"/>
      <c r="DW260" s="116"/>
      <c r="DX260" s="116"/>
      <c r="DY260" s="116"/>
      <c r="DZ260" s="116"/>
      <c r="EA260" s="116"/>
      <c r="EB260" s="116"/>
    </row>
    <row r="261" spans="3:132" ht="12.75"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6"/>
      <c r="BR261" s="116"/>
      <c r="BS261" s="116"/>
      <c r="BT261" s="116"/>
      <c r="BU261" s="116"/>
      <c r="BV261" s="116"/>
      <c r="BW261" s="116"/>
      <c r="BX261" s="116"/>
      <c r="BY261" s="116"/>
      <c r="BZ261" s="116"/>
      <c r="CA261" s="116"/>
      <c r="CB261" s="116"/>
      <c r="CC261" s="116"/>
      <c r="CD261" s="116"/>
      <c r="CE261" s="116"/>
      <c r="CF261" s="116"/>
      <c r="CG261" s="116"/>
      <c r="CH261" s="116"/>
      <c r="CI261" s="116"/>
      <c r="CJ261" s="116"/>
      <c r="CK261" s="116"/>
      <c r="CL261" s="116"/>
      <c r="CM261" s="116"/>
      <c r="CN261" s="116"/>
      <c r="CO261" s="116"/>
      <c r="CP261" s="116"/>
      <c r="CQ261" s="116"/>
      <c r="CR261" s="116"/>
      <c r="CS261" s="116"/>
      <c r="CT261" s="116"/>
      <c r="CU261" s="116"/>
      <c r="CV261" s="116"/>
      <c r="CW261" s="116"/>
      <c r="CX261" s="116"/>
      <c r="CY261" s="116"/>
      <c r="CZ261" s="116"/>
      <c r="DA261" s="116"/>
      <c r="DB261" s="116"/>
      <c r="DC261" s="116"/>
      <c r="DD261" s="116"/>
      <c r="DE261" s="116"/>
      <c r="DF261" s="116"/>
      <c r="DG261" s="116"/>
      <c r="DH261" s="116"/>
      <c r="DI261" s="116"/>
      <c r="DJ261" s="116"/>
      <c r="DK261" s="116"/>
      <c r="DL261" s="116"/>
      <c r="DM261" s="116"/>
      <c r="DN261" s="116"/>
      <c r="DO261" s="116"/>
      <c r="DP261" s="116"/>
      <c r="DQ261" s="116"/>
      <c r="DR261" s="116"/>
      <c r="DS261" s="116"/>
      <c r="DT261" s="116"/>
      <c r="DU261" s="116"/>
      <c r="DV261" s="116"/>
      <c r="DW261" s="116"/>
      <c r="DX261" s="116"/>
      <c r="DY261" s="116"/>
      <c r="DZ261" s="116"/>
      <c r="EA261" s="116"/>
      <c r="EB261" s="116"/>
    </row>
    <row r="262" spans="3:132" ht="12.75"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6"/>
      <c r="BR262" s="116"/>
      <c r="BS262" s="116"/>
      <c r="BT262" s="116"/>
      <c r="BU262" s="116"/>
      <c r="BV262" s="116"/>
      <c r="BW262" s="116"/>
      <c r="BX262" s="116"/>
      <c r="BY262" s="116"/>
      <c r="BZ262" s="116"/>
      <c r="CA262" s="116"/>
      <c r="CB262" s="116"/>
      <c r="CC262" s="116"/>
      <c r="CD262" s="116"/>
      <c r="CE262" s="116"/>
      <c r="CF262" s="116"/>
      <c r="CG262" s="116"/>
      <c r="CH262" s="116"/>
      <c r="CI262" s="116"/>
      <c r="CJ262" s="116"/>
      <c r="CK262" s="116"/>
      <c r="CL262" s="116"/>
      <c r="CM262" s="116"/>
      <c r="CN262" s="116"/>
      <c r="CO262" s="116"/>
      <c r="CP262" s="116"/>
      <c r="CQ262" s="116"/>
      <c r="CR262" s="116"/>
      <c r="CS262" s="116"/>
      <c r="CT262" s="116"/>
      <c r="CU262" s="116"/>
      <c r="CV262" s="116"/>
      <c r="CW262" s="116"/>
      <c r="CX262" s="116"/>
      <c r="CY262" s="116"/>
      <c r="CZ262" s="116"/>
      <c r="DA262" s="116"/>
      <c r="DB262" s="116"/>
      <c r="DC262" s="116"/>
      <c r="DD262" s="116"/>
      <c r="DE262" s="116"/>
      <c r="DF262" s="116"/>
      <c r="DG262" s="116"/>
      <c r="DH262" s="116"/>
      <c r="DI262" s="116"/>
      <c r="DJ262" s="116"/>
      <c r="DK262" s="116"/>
      <c r="DL262" s="116"/>
      <c r="DM262" s="116"/>
      <c r="DN262" s="116"/>
      <c r="DO262" s="116"/>
      <c r="DP262" s="116"/>
      <c r="DQ262" s="116"/>
      <c r="DR262" s="116"/>
      <c r="DS262" s="116"/>
      <c r="DT262" s="116"/>
      <c r="DU262" s="116"/>
      <c r="DV262" s="116"/>
      <c r="DW262" s="116"/>
      <c r="DX262" s="116"/>
      <c r="DY262" s="116"/>
      <c r="DZ262" s="116"/>
      <c r="EA262" s="116"/>
      <c r="EB262" s="116"/>
    </row>
    <row r="263" spans="3:132" ht="12.75"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  <c r="CV263" s="116"/>
      <c r="CW263" s="116"/>
      <c r="CX263" s="116"/>
      <c r="CY263" s="116"/>
      <c r="CZ263" s="116"/>
      <c r="DA263" s="116"/>
      <c r="DB263" s="116"/>
      <c r="DC263" s="116"/>
      <c r="DD263" s="116"/>
      <c r="DE263" s="116"/>
      <c r="DF263" s="116"/>
      <c r="DG263" s="116"/>
      <c r="DH263" s="116"/>
      <c r="DI263" s="116"/>
      <c r="DJ263" s="116"/>
      <c r="DK263" s="116"/>
      <c r="DL263" s="116"/>
      <c r="DM263" s="116"/>
      <c r="DN263" s="116"/>
      <c r="DO263" s="116"/>
      <c r="DP263" s="116"/>
      <c r="DQ263" s="116"/>
      <c r="DR263" s="116"/>
      <c r="DS263" s="116"/>
      <c r="DT263" s="116"/>
      <c r="DU263" s="116"/>
      <c r="DV263" s="116"/>
      <c r="DW263" s="116"/>
      <c r="DX263" s="116"/>
      <c r="DY263" s="116"/>
      <c r="DZ263" s="116"/>
      <c r="EA263" s="116"/>
      <c r="EB263" s="116"/>
    </row>
    <row r="264" spans="3:132" ht="12.75"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6"/>
      <c r="DE264" s="116"/>
      <c r="DF264" s="116"/>
      <c r="DG264" s="116"/>
      <c r="DH264" s="116"/>
      <c r="DI264" s="116"/>
      <c r="DJ264" s="116"/>
      <c r="DK264" s="116"/>
      <c r="DL264" s="116"/>
      <c r="DM264" s="116"/>
      <c r="DN264" s="116"/>
      <c r="DO264" s="116"/>
      <c r="DP264" s="116"/>
      <c r="DQ264" s="116"/>
      <c r="DR264" s="116"/>
      <c r="DS264" s="116"/>
      <c r="DT264" s="116"/>
      <c r="DU264" s="116"/>
      <c r="DV264" s="116"/>
      <c r="DW264" s="116"/>
      <c r="DX264" s="116"/>
      <c r="DY264" s="116"/>
      <c r="DZ264" s="116"/>
      <c r="EA264" s="116"/>
      <c r="EB264" s="116"/>
    </row>
    <row r="265" spans="3:132" ht="12.75"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  <c r="BV265" s="116"/>
      <c r="BW265" s="116"/>
      <c r="BX265" s="116"/>
      <c r="BY265" s="116"/>
      <c r="BZ265" s="116"/>
      <c r="CA265" s="116"/>
      <c r="CB265" s="116"/>
      <c r="CC265" s="116"/>
      <c r="CD265" s="116"/>
      <c r="CE265" s="116"/>
      <c r="CF265" s="116"/>
      <c r="CG265" s="116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16"/>
      <c r="DB265" s="116"/>
      <c r="DC265" s="116"/>
      <c r="DD265" s="116"/>
      <c r="DE265" s="116"/>
      <c r="DF265" s="116"/>
      <c r="DG265" s="116"/>
      <c r="DH265" s="116"/>
      <c r="DI265" s="116"/>
      <c r="DJ265" s="116"/>
      <c r="DK265" s="116"/>
      <c r="DL265" s="116"/>
      <c r="DM265" s="116"/>
      <c r="DN265" s="116"/>
      <c r="DO265" s="116"/>
      <c r="DP265" s="116"/>
      <c r="DQ265" s="116"/>
      <c r="DR265" s="116"/>
      <c r="DS265" s="116"/>
      <c r="DT265" s="116"/>
      <c r="DU265" s="116"/>
      <c r="DV265" s="116"/>
      <c r="DW265" s="116"/>
      <c r="DX265" s="116"/>
      <c r="DY265" s="116"/>
      <c r="DZ265" s="116"/>
      <c r="EA265" s="116"/>
      <c r="EB265" s="116"/>
    </row>
    <row r="266" spans="3:132" ht="12.75"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16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16"/>
      <c r="AR266" s="116"/>
      <c r="AS266" s="116"/>
      <c r="AT266" s="116"/>
      <c r="AU266" s="116"/>
      <c r="AV266" s="116"/>
      <c r="AW266" s="116"/>
      <c r="AX266" s="116"/>
      <c r="AY266" s="116"/>
      <c r="AZ266" s="116"/>
      <c r="BA266" s="116"/>
      <c r="BB266" s="116"/>
      <c r="BC266" s="116"/>
      <c r="BD266" s="116"/>
      <c r="BE266" s="116"/>
      <c r="BF266" s="116"/>
      <c r="BG266" s="116"/>
      <c r="BH266" s="116"/>
      <c r="BI266" s="116"/>
      <c r="BJ266" s="116"/>
      <c r="BK266" s="116"/>
      <c r="BL266" s="116"/>
      <c r="BM266" s="116"/>
      <c r="BN266" s="116"/>
      <c r="BO266" s="116"/>
      <c r="BP266" s="116"/>
      <c r="BQ266" s="116"/>
      <c r="BR266" s="116"/>
      <c r="BS266" s="116"/>
      <c r="BT266" s="116"/>
      <c r="BU266" s="116"/>
      <c r="BV266" s="116"/>
      <c r="BW266" s="116"/>
      <c r="BX266" s="116"/>
      <c r="BY266" s="116"/>
      <c r="BZ266" s="116"/>
      <c r="CA266" s="116"/>
      <c r="CB266" s="116"/>
      <c r="CC266" s="116"/>
      <c r="CD266" s="116"/>
      <c r="CE266" s="116"/>
      <c r="CF266" s="116"/>
      <c r="CG266" s="116"/>
      <c r="CH266" s="116"/>
      <c r="CI266" s="116"/>
      <c r="CJ266" s="116"/>
      <c r="CK266" s="116"/>
      <c r="CL266" s="116"/>
      <c r="CM266" s="116"/>
      <c r="CN266" s="116"/>
      <c r="CO266" s="116"/>
      <c r="CP266" s="116"/>
      <c r="CQ266" s="116"/>
      <c r="CR266" s="116"/>
      <c r="CS266" s="116"/>
      <c r="CT266" s="116"/>
      <c r="CU266" s="116"/>
      <c r="CV266" s="116"/>
      <c r="CW266" s="116"/>
      <c r="CX266" s="116"/>
      <c r="CY266" s="116"/>
      <c r="CZ266" s="116"/>
      <c r="DA266" s="116"/>
      <c r="DB266" s="116"/>
      <c r="DC266" s="116"/>
      <c r="DD266" s="116"/>
      <c r="DE266" s="116"/>
      <c r="DF266" s="116"/>
      <c r="DG266" s="116"/>
      <c r="DH266" s="116"/>
      <c r="DI266" s="116"/>
      <c r="DJ266" s="116"/>
      <c r="DK266" s="116"/>
      <c r="DL266" s="116"/>
      <c r="DM266" s="116"/>
      <c r="DN266" s="116"/>
      <c r="DO266" s="116"/>
      <c r="DP266" s="116"/>
      <c r="DQ266" s="116"/>
      <c r="DR266" s="116"/>
      <c r="DS266" s="116"/>
      <c r="DT266" s="116"/>
      <c r="DU266" s="116"/>
      <c r="DV266" s="116"/>
      <c r="DW266" s="116"/>
      <c r="DX266" s="116"/>
      <c r="DY266" s="116"/>
      <c r="DZ266" s="116"/>
      <c r="EA266" s="116"/>
      <c r="EB266" s="116"/>
    </row>
    <row r="267" spans="3:132" ht="12.75"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6"/>
      <c r="DE267" s="116"/>
      <c r="DF267" s="116"/>
      <c r="DG267" s="116"/>
      <c r="DH267" s="116"/>
      <c r="DI267" s="116"/>
      <c r="DJ267" s="116"/>
      <c r="DK267" s="116"/>
      <c r="DL267" s="116"/>
      <c r="DM267" s="116"/>
      <c r="DN267" s="116"/>
      <c r="DO267" s="116"/>
      <c r="DP267" s="116"/>
      <c r="DQ267" s="116"/>
      <c r="DR267" s="116"/>
      <c r="DS267" s="116"/>
      <c r="DT267" s="116"/>
      <c r="DU267" s="116"/>
      <c r="DV267" s="116"/>
      <c r="DW267" s="116"/>
      <c r="DX267" s="116"/>
      <c r="DY267" s="116"/>
      <c r="DZ267" s="116"/>
      <c r="EA267" s="116"/>
      <c r="EB267" s="116"/>
    </row>
    <row r="268" spans="3:132" ht="12.75"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6"/>
      <c r="BR268" s="116"/>
      <c r="BS268" s="116"/>
      <c r="BT268" s="116"/>
      <c r="BU268" s="116"/>
      <c r="BV268" s="116"/>
      <c r="BW268" s="116"/>
      <c r="BX268" s="116"/>
      <c r="BY268" s="116"/>
      <c r="BZ268" s="116"/>
      <c r="CA268" s="116"/>
      <c r="CB268" s="116"/>
      <c r="CC268" s="116"/>
      <c r="CD268" s="116"/>
      <c r="CE268" s="116"/>
      <c r="CF268" s="116"/>
      <c r="CG268" s="116"/>
      <c r="CH268" s="116"/>
      <c r="CI268" s="116"/>
      <c r="CJ268" s="116"/>
      <c r="CK268" s="116"/>
      <c r="CL268" s="116"/>
      <c r="CM268" s="116"/>
      <c r="CN268" s="116"/>
      <c r="CO268" s="116"/>
      <c r="CP268" s="116"/>
      <c r="CQ268" s="116"/>
      <c r="CR268" s="116"/>
      <c r="CS268" s="116"/>
      <c r="CT268" s="116"/>
      <c r="CU268" s="116"/>
      <c r="CV268" s="116"/>
      <c r="CW268" s="116"/>
      <c r="CX268" s="116"/>
      <c r="CY268" s="116"/>
      <c r="CZ268" s="116"/>
      <c r="DA268" s="116"/>
      <c r="DB268" s="116"/>
      <c r="DC268" s="116"/>
      <c r="DD268" s="116"/>
      <c r="DE268" s="116"/>
      <c r="DF268" s="116"/>
      <c r="DG268" s="116"/>
      <c r="DH268" s="116"/>
      <c r="DI268" s="116"/>
      <c r="DJ268" s="116"/>
      <c r="DK268" s="116"/>
      <c r="DL268" s="116"/>
      <c r="DM268" s="116"/>
      <c r="DN268" s="116"/>
      <c r="DO268" s="116"/>
      <c r="DP268" s="116"/>
      <c r="DQ268" s="116"/>
      <c r="DR268" s="116"/>
      <c r="DS268" s="116"/>
      <c r="DT268" s="116"/>
      <c r="DU268" s="116"/>
      <c r="DV268" s="116"/>
      <c r="DW268" s="116"/>
      <c r="DX268" s="116"/>
      <c r="DY268" s="116"/>
      <c r="DZ268" s="116"/>
      <c r="EA268" s="116"/>
      <c r="EB268" s="116"/>
    </row>
    <row r="269" spans="3:132" ht="12.75"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16"/>
      <c r="DB269" s="116"/>
      <c r="DC269" s="116"/>
      <c r="DD269" s="116"/>
      <c r="DE269" s="116"/>
      <c r="DF269" s="116"/>
      <c r="DG269" s="116"/>
      <c r="DH269" s="116"/>
      <c r="DI269" s="116"/>
      <c r="DJ269" s="116"/>
      <c r="DK269" s="116"/>
      <c r="DL269" s="116"/>
      <c r="DM269" s="116"/>
      <c r="DN269" s="116"/>
      <c r="DO269" s="116"/>
      <c r="DP269" s="116"/>
      <c r="DQ269" s="116"/>
      <c r="DR269" s="116"/>
      <c r="DS269" s="116"/>
      <c r="DT269" s="116"/>
      <c r="DU269" s="116"/>
      <c r="DV269" s="116"/>
      <c r="DW269" s="116"/>
      <c r="DX269" s="116"/>
      <c r="DY269" s="116"/>
      <c r="DZ269" s="116"/>
      <c r="EA269" s="116"/>
      <c r="EB269" s="116"/>
    </row>
    <row r="270" spans="3:132" ht="12.75"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  <c r="BD270" s="116"/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  <c r="BV270" s="116"/>
      <c r="BW270" s="116"/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6"/>
      <c r="CO270" s="116"/>
      <c r="CP270" s="116"/>
      <c r="CQ270" s="116"/>
      <c r="CR270" s="116"/>
      <c r="CS270" s="116"/>
      <c r="CT270" s="116"/>
      <c r="CU270" s="116"/>
      <c r="CV270" s="116"/>
      <c r="CW270" s="116"/>
      <c r="CX270" s="116"/>
      <c r="CY270" s="116"/>
      <c r="CZ270" s="116"/>
      <c r="DA270" s="116"/>
      <c r="DB270" s="116"/>
      <c r="DC270" s="116"/>
      <c r="DD270" s="116"/>
      <c r="DE270" s="116"/>
      <c r="DF270" s="116"/>
      <c r="DG270" s="116"/>
      <c r="DH270" s="116"/>
      <c r="DI270" s="116"/>
      <c r="DJ270" s="116"/>
      <c r="DK270" s="116"/>
      <c r="DL270" s="116"/>
      <c r="DM270" s="116"/>
      <c r="DN270" s="116"/>
      <c r="DO270" s="116"/>
      <c r="DP270" s="116"/>
      <c r="DQ270" s="116"/>
      <c r="DR270" s="116"/>
      <c r="DS270" s="116"/>
      <c r="DT270" s="116"/>
      <c r="DU270" s="116"/>
      <c r="DV270" s="116"/>
      <c r="DW270" s="116"/>
      <c r="DX270" s="116"/>
      <c r="DY270" s="116"/>
      <c r="DZ270" s="116"/>
      <c r="EA270" s="116"/>
      <c r="EB270" s="116"/>
    </row>
    <row r="271" spans="3:132" ht="12.75"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  <c r="AA271" s="116"/>
      <c r="AB271" s="116"/>
      <c r="AC271" s="116"/>
      <c r="AD271" s="116"/>
      <c r="AE271" s="116"/>
      <c r="AF271" s="116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116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  <c r="BV271" s="116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6"/>
      <c r="DE271" s="116"/>
      <c r="DF271" s="116"/>
      <c r="DG271" s="116"/>
      <c r="DH271" s="116"/>
      <c r="DI271" s="116"/>
      <c r="DJ271" s="116"/>
      <c r="DK271" s="116"/>
      <c r="DL271" s="116"/>
      <c r="DM271" s="116"/>
      <c r="DN271" s="116"/>
      <c r="DO271" s="116"/>
      <c r="DP271" s="116"/>
      <c r="DQ271" s="116"/>
      <c r="DR271" s="116"/>
      <c r="DS271" s="116"/>
      <c r="DT271" s="116"/>
      <c r="DU271" s="116"/>
      <c r="DV271" s="116"/>
      <c r="DW271" s="116"/>
      <c r="DX271" s="116"/>
      <c r="DY271" s="116"/>
      <c r="DZ271" s="116"/>
      <c r="EA271" s="116"/>
      <c r="EB271" s="116"/>
    </row>
    <row r="272" spans="3:132" ht="12.75"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6"/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/>
      <c r="BI272" s="116"/>
      <c r="BJ272" s="116"/>
      <c r="BK272" s="116"/>
      <c r="BL272" s="116"/>
      <c r="BM272" s="116"/>
      <c r="BN272" s="116"/>
      <c r="BO272" s="116"/>
      <c r="BP272" s="116"/>
      <c r="BQ272" s="116"/>
      <c r="BR272" s="116"/>
      <c r="BS272" s="116"/>
      <c r="BT272" s="116"/>
      <c r="BU272" s="116"/>
      <c r="BV272" s="116"/>
      <c r="BW272" s="116"/>
      <c r="BX272" s="116"/>
      <c r="BY272" s="116"/>
      <c r="BZ272" s="116"/>
      <c r="CA272" s="116"/>
      <c r="CB272" s="116"/>
      <c r="CC272" s="116"/>
      <c r="CD272" s="116"/>
      <c r="CE272" s="116"/>
      <c r="CF272" s="116"/>
      <c r="CG272" s="116"/>
      <c r="CH272" s="116"/>
      <c r="CI272" s="116"/>
      <c r="CJ272" s="116"/>
      <c r="CK272" s="116"/>
      <c r="CL272" s="116"/>
      <c r="CM272" s="116"/>
      <c r="CN272" s="116"/>
      <c r="CO272" s="116"/>
      <c r="CP272" s="116"/>
      <c r="CQ272" s="116"/>
      <c r="CR272" s="116"/>
      <c r="CS272" s="116"/>
      <c r="CT272" s="116"/>
      <c r="CU272" s="116"/>
      <c r="CV272" s="116"/>
      <c r="CW272" s="116"/>
      <c r="CX272" s="116"/>
      <c r="CY272" s="116"/>
      <c r="CZ272" s="116"/>
      <c r="DA272" s="116"/>
      <c r="DB272" s="116"/>
      <c r="DC272" s="116"/>
      <c r="DD272" s="116"/>
      <c r="DE272" s="116"/>
      <c r="DF272" s="116"/>
      <c r="DG272" s="116"/>
      <c r="DH272" s="116"/>
      <c r="DI272" s="116"/>
      <c r="DJ272" s="116"/>
      <c r="DK272" s="116"/>
      <c r="DL272" s="116"/>
      <c r="DM272" s="116"/>
      <c r="DN272" s="116"/>
      <c r="DO272" s="116"/>
      <c r="DP272" s="116"/>
      <c r="DQ272" s="116"/>
      <c r="DR272" s="116"/>
      <c r="DS272" s="116"/>
      <c r="DT272" s="116"/>
      <c r="DU272" s="116"/>
      <c r="DV272" s="116"/>
      <c r="DW272" s="116"/>
      <c r="DX272" s="116"/>
      <c r="DY272" s="116"/>
      <c r="DZ272" s="116"/>
      <c r="EA272" s="116"/>
      <c r="EB272" s="116"/>
    </row>
    <row r="273" spans="3:132" ht="12.75"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  <c r="AR273" s="116"/>
      <c r="AS273" s="116"/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6"/>
      <c r="BQ273" s="116"/>
      <c r="BR273" s="116"/>
      <c r="BS273" s="116"/>
      <c r="BT273" s="116"/>
      <c r="BU273" s="116"/>
      <c r="BV273" s="116"/>
      <c r="BW273" s="116"/>
      <c r="BX273" s="116"/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/>
      <c r="CL273" s="116"/>
      <c r="CM273" s="116"/>
      <c r="CN273" s="116"/>
      <c r="CO273" s="116"/>
      <c r="CP273" s="116"/>
      <c r="CQ273" s="116"/>
      <c r="CR273" s="116"/>
      <c r="CS273" s="116"/>
      <c r="CT273" s="116"/>
      <c r="CU273" s="116"/>
      <c r="CV273" s="116"/>
      <c r="CW273" s="116"/>
      <c r="CX273" s="116"/>
      <c r="CY273" s="116"/>
      <c r="CZ273" s="116"/>
      <c r="DA273" s="116"/>
      <c r="DB273" s="116"/>
      <c r="DC273" s="116"/>
      <c r="DD273" s="116"/>
      <c r="DE273" s="116"/>
      <c r="DF273" s="116"/>
      <c r="DG273" s="116"/>
      <c r="DH273" s="116"/>
      <c r="DI273" s="116"/>
      <c r="DJ273" s="116"/>
      <c r="DK273" s="116"/>
      <c r="DL273" s="116"/>
      <c r="DM273" s="116"/>
      <c r="DN273" s="116"/>
      <c r="DO273" s="116"/>
      <c r="DP273" s="116"/>
      <c r="DQ273" s="116"/>
      <c r="DR273" s="116"/>
      <c r="DS273" s="116"/>
      <c r="DT273" s="116"/>
      <c r="DU273" s="116"/>
      <c r="DV273" s="116"/>
      <c r="DW273" s="116"/>
      <c r="DX273" s="116"/>
      <c r="DY273" s="116"/>
      <c r="DZ273" s="116"/>
      <c r="EA273" s="116"/>
      <c r="EB273" s="116"/>
    </row>
    <row r="274" spans="3:132" ht="12.75"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116"/>
      <c r="AR274" s="116"/>
      <c r="AS274" s="116"/>
      <c r="AT274" s="116"/>
      <c r="AU274" s="116"/>
      <c r="AV274" s="116"/>
      <c r="AW274" s="116"/>
      <c r="AX274" s="116"/>
      <c r="AY274" s="116"/>
      <c r="AZ274" s="116"/>
      <c r="BA274" s="116"/>
      <c r="BB274" s="116"/>
      <c r="BC274" s="116"/>
      <c r="BD274" s="116"/>
      <c r="BE274" s="116"/>
      <c r="BF274" s="116"/>
      <c r="BG274" s="116"/>
      <c r="BH274" s="116"/>
      <c r="BI274" s="116"/>
      <c r="BJ274" s="116"/>
      <c r="BK274" s="116"/>
      <c r="BL274" s="116"/>
      <c r="BM274" s="116"/>
      <c r="BN274" s="116"/>
      <c r="BO274" s="116"/>
      <c r="BP274" s="116"/>
      <c r="BQ274" s="116"/>
      <c r="BR274" s="116"/>
      <c r="BS274" s="116"/>
      <c r="BT274" s="116"/>
      <c r="BU274" s="116"/>
      <c r="BV274" s="116"/>
      <c r="BW274" s="116"/>
      <c r="BX274" s="116"/>
      <c r="BY274" s="116"/>
      <c r="BZ274" s="116"/>
      <c r="CA274" s="116"/>
      <c r="CB274" s="116"/>
      <c r="CC274" s="116"/>
      <c r="CD274" s="116"/>
      <c r="CE274" s="116"/>
      <c r="CF274" s="116"/>
      <c r="CG274" s="116"/>
      <c r="CH274" s="116"/>
      <c r="CI274" s="116"/>
      <c r="CJ274" s="116"/>
      <c r="CK274" s="116"/>
      <c r="CL274" s="116"/>
      <c r="CM274" s="116"/>
      <c r="CN274" s="116"/>
      <c r="CO274" s="116"/>
      <c r="CP274" s="116"/>
      <c r="CQ274" s="116"/>
      <c r="CR274" s="116"/>
      <c r="CS274" s="116"/>
      <c r="CT274" s="116"/>
      <c r="CU274" s="116"/>
      <c r="CV274" s="116"/>
      <c r="CW274" s="116"/>
      <c r="CX274" s="116"/>
      <c r="CY274" s="116"/>
      <c r="CZ274" s="116"/>
      <c r="DA274" s="116"/>
      <c r="DB274" s="116"/>
      <c r="DC274" s="116"/>
      <c r="DD274" s="116"/>
      <c r="DE274" s="116"/>
      <c r="DF274" s="116"/>
      <c r="DG274" s="116"/>
      <c r="DH274" s="116"/>
      <c r="DI274" s="116"/>
      <c r="DJ274" s="116"/>
      <c r="DK274" s="116"/>
      <c r="DL274" s="116"/>
      <c r="DM274" s="116"/>
      <c r="DN274" s="116"/>
      <c r="DO274" s="116"/>
      <c r="DP274" s="116"/>
      <c r="DQ274" s="116"/>
      <c r="DR274" s="116"/>
      <c r="DS274" s="116"/>
      <c r="DT274" s="116"/>
      <c r="DU274" s="116"/>
      <c r="DV274" s="116"/>
      <c r="DW274" s="116"/>
      <c r="DX274" s="116"/>
      <c r="DY274" s="116"/>
      <c r="DZ274" s="116"/>
      <c r="EA274" s="116"/>
      <c r="EB274" s="116"/>
    </row>
    <row r="275" spans="3:132" ht="12.75"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6"/>
      <c r="BB275" s="116"/>
      <c r="BC275" s="116"/>
      <c r="BD275" s="116"/>
      <c r="BE275" s="116"/>
      <c r="BF275" s="116"/>
      <c r="BG275" s="116"/>
      <c r="BH275" s="116"/>
      <c r="BI275" s="116"/>
      <c r="BJ275" s="116"/>
      <c r="BK275" s="116"/>
      <c r="BL275" s="116"/>
      <c r="BM275" s="116"/>
      <c r="BN275" s="116"/>
      <c r="BO275" s="116"/>
      <c r="BP275" s="116"/>
      <c r="BQ275" s="116"/>
      <c r="BR275" s="116"/>
      <c r="BS275" s="116"/>
      <c r="BT275" s="116"/>
      <c r="BU275" s="116"/>
      <c r="BV275" s="116"/>
      <c r="BW275" s="116"/>
      <c r="BX275" s="116"/>
      <c r="BY275" s="116"/>
      <c r="BZ275" s="116"/>
      <c r="CA275" s="116"/>
      <c r="CB275" s="116"/>
      <c r="CC275" s="116"/>
      <c r="CD275" s="116"/>
      <c r="CE275" s="116"/>
      <c r="CF275" s="116"/>
      <c r="CG275" s="116"/>
      <c r="CH275" s="116"/>
      <c r="CI275" s="116"/>
      <c r="CJ275" s="116"/>
      <c r="CK275" s="116"/>
      <c r="CL275" s="116"/>
      <c r="CM275" s="116"/>
      <c r="CN275" s="116"/>
      <c r="CO275" s="116"/>
      <c r="CP275" s="116"/>
      <c r="CQ275" s="116"/>
      <c r="CR275" s="116"/>
      <c r="CS275" s="116"/>
      <c r="CT275" s="116"/>
      <c r="CU275" s="116"/>
      <c r="CV275" s="116"/>
      <c r="CW275" s="116"/>
      <c r="CX275" s="116"/>
      <c r="CY275" s="116"/>
      <c r="CZ275" s="116"/>
      <c r="DA275" s="116"/>
      <c r="DB275" s="116"/>
      <c r="DC275" s="116"/>
      <c r="DD275" s="116"/>
      <c r="DE275" s="116"/>
      <c r="DF275" s="116"/>
      <c r="DG275" s="116"/>
      <c r="DH275" s="116"/>
      <c r="DI275" s="116"/>
      <c r="DJ275" s="116"/>
      <c r="DK275" s="116"/>
      <c r="DL275" s="116"/>
      <c r="DM275" s="116"/>
      <c r="DN275" s="116"/>
      <c r="DO275" s="116"/>
      <c r="DP275" s="116"/>
      <c r="DQ275" s="116"/>
      <c r="DR275" s="116"/>
      <c r="DS275" s="116"/>
      <c r="DT275" s="116"/>
      <c r="DU275" s="116"/>
      <c r="DV275" s="116"/>
      <c r="DW275" s="116"/>
      <c r="DX275" s="116"/>
      <c r="DY275" s="116"/>
      <c r="DZ275" s="116"/>
      <c r="EA275" s="116"/>
      <c r="EB275" s="116"/>
    </row>
    <row r="276" spans="3:132" ht="12.75"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  <c r="AS276" s="116"/>
      <c r="AT276" s="116"/>
      <c r="AU276" s="116"/>
      <c r="AV276" s="116"/>
      <c r="AW276" s="116"/>
      <c r="AX276" s="116"/>
      <c r="AY276" s="116"/>
      <c r="AZ276" s="116"/>
      <c r="BA276" s="116"/>
      <c r="BB276" s="116"/>
      <c r="BC276" s="116"/>
      <c r="BD276" s="116"/>
      <c r="BE276" s="116"/>
      <c r="BF276" s="116"/>
      <c r="BG276" s="116"/>
      <c r="BH276" s="116"/>
      <c r="BI276" s="116"/>
      <c r="BJ276" s="116"/>
      <c r="BK276" s="116"/>
      <c r="BL276" s="116"/>
      <c r="BM276" s="116"/>
      <c r="BN276" s="116"/>
      <c r="BO276" s="116"/>
      <c r="BP276" s="116"/>
      <c r="BQ276" s="116"/>
      <c r="BR276" s="116"/>
      <c r="BS276" s="116"/>
      <c r="BT276" s="116"/>
      <c r="BU276" s="116"/>
      <c r="BV276" s="116"/>
      <c r="BW276" s="116"/>
      <c r="BX276" s="116"/>
      <c r="BY276" s="116"/>
      <c r="BZ276" s="116"/>
      <c r="CA276" s="116"/>
      <c r="CB276" s="116"/>
      <c r="CC276" s="116"/>
      <c r="CD276" s="116"/>
      <c r="CE276" s="116"/>
      <c r="CF276" s="116"/>
      <c r="CG276" s="116"/>
      <c r="CH276" s="116"/>
      <c r="CI276" s="116"/>
      <c r="CJ276" s="116"/>
      <c r="CK276" s="116"/>
      <c r="CL276" s="116"/>
      <c r="CM276" s="116"/>
      <c r="CN276" s="116"/>
      <c r="CO276" s="116"/>
      <c r="CP276" s="116"/>
      <c r="CQ276" s="116"/>
      <c r="CR276" s="116"/>
      <c r="CS276" s="116"/>
      <c r="CT276" s="116"/>
      <c r="CU276" s="116"/>
      <c r="CV276" s="116"/>
      <c r="CW276" s="116"/>
      <c r="CX276" s="116"/>
      <c r="CY276" s="116"/>
      <c r="CZ276" s="116"/>
      <c r="DA276" s="116"/>
      <c r="DB276" s="116"/>
      <c r="DC276" s="116"/>
      <c r="DD276" s="116"/>
      <c r="DE276" s="116"/>
      <c r="DF276" s="116"/>
      <c r="DG276" s="116"/>
      <c r="DH276" s="116"/>
      <c r="DI276" s="116"/>
      <c r="DJ276" s="116"/>
      <c r="DK276" s="116"/>
      <c r="DL276" s="116"/>
      <c r="DM276" s="116"/>
      <c r="DN276" s="116"/>
      <c r="DO276" s="116"/>
      <c r="DP276" s="116"/>
      <c r="DQ276" s="116"/>
      <c r="DR276" s="116"/>
      <c r="DS276" s="116"/>
      <c r="DT276" s="116"/>
      <c r="DU276" s="116"/>
      <c r="DV276" s="116"/>
      <c r="DW276" s="116"/>
      <c r="DX276" s="116"/>
      <c r="DY276" s="116"/>
      <c r="DZ276" s="116"/>
      <c r="EA276" s="116"/>
      <c r="EB276" s="116"/>
    </row>
    <row r="277" spans="3:132" ht="12.75"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6"/>
      <c r="BW277" s="116"/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6"/>
      <c r="CO277" s="116"/>
      <c r="CP277" s="116"/>
      <c r="CQ277" s="116"/>
      <c r="CR277" s="116"/>
      <c r="CS277" s="116"/>
      <c r="CT277" s="116"/>
      <c r="CU277" s="116"/>
      <c r="CV277" s="116"/>
      <c r="CW277" s="116"/>
      <c r="CX277" s="116"/>
      <c r="CY277" s="116"/>
      <c r="CZ277" s="116"/>
      <c r="DA277" s="116"/>
      <c r="DB277" s="116"/>
      <c r="DC277" s="116"/>
      <c r="DD277" s="116"/>
      <c r="DE277" s="116"/>
      <c r="DF277" s="116"/>
      <c r="DG277" s="116"/>
      <c r="DH277" s="116"/>
      <c r="DI277" s="116"/>
      <c r="DJ277" s="116"/>
      <c r="DK277" s="116"/>
      <c r="DL277" s="116"/>
      <c r="DM277" s="116"/>
      <c r="DN277" s="116"/>
      <c r="DO277" s="116"/>
      <c r="DP277" s="116"/>
      <c r="DQ277" s="116"/>
      <c r="DR277" s="116"/>
      <c r="DS277" s="116"/>
      <c r="DT277" s="116"/>
      <c r="DU277" s="116"/>
      <c r="DV277" s="116"/>
      <c r="DW277" s="116"/>
      <c r="DX277" s="116"/>
      <c r="DY277" s="116"/>
      <c r="DZ277" s="116"/>
      <c r="EA277" s="116"/>
      <c r="EB277" s="116"/>
    </row>
    <row r="278" spans="3:132" ht="12.75"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16"/>
      <c r="DB278" s="116"/>
      <c r="DC278" s="116"/>
      <c r="DD278" s="116"/>
      <c r="DE278" s="116"/>
      <c r="DF278" s="116"/>
      <c r="DG278" s="116"/>
      <c r="DH278" s="116"/>
      <c r="DI278" s="116"/>
      <c r="DJ278" s="116"/>
      <c r="DK278" s="116"/>
      <c r="DL278" s="116"/>
      <c r="DM278" s="116"/>
      <c r="DN278" s="116"/>
      <c r="DO278" s="116"/>
      <c r="DP278" s="116"/>
      <c r="DQ278" s="116"/>
      <c r="DR278" s="116"/>
      <c r="DS278" s="116"/>
      <c r="DT278" s="116"/>
      <c r="DU278" s="116"/>
      <c r="DV278" s="116"/>
      <c r="DW278" s="116"/>
      <c r="DX278" s="116"/>
      <c r="DY278" s="116"/>
      <c r="DZ278" s="116"/>
      <c r="EA278" s="116"/>
      <c r="EB278" s="116"/>
    </row>
    <row r="279" spans="3:132" ht="12.75"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6"/>
      <c r="BW279" s="116"/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  <c r="CV279" s="116"/>
      <c r="CW279" s="116"/>
      <c r="CX279" s="116"/>
      <c r="CY279" s="116"/>
      <c r="CZ279" s="116"/>
      <c r="DA279" s="116"/>
      <c r="DB279" s="116"/>
      <c r="DC279" s="116"/>
      <c r="DD279" s="116"/>
      <c r="DE279" s="116"/>
      <c r="DF279" s="116"/>
      <c r="DG279" s="116"/>
      <c r="DH279" s="116"/>
      <c r="DI279" s="116"/>
      <c r="DJ279" s="116"/>
      <c r="DK279" s="116"/>
      <c r="DL279" s="116"/>
      <c r="DM279" s="116"/>
      <c r="DN279" s="116"/>
      <c r="DO279" s="116"/>
      <c r="DP279" s="116"/>
      <c r="DQ279" s="116"/>
      <c r="DR279" s="116"/>
      <c r="DS279" s="116"/>
      <c r="DT279" s="116"/>
      <c r="DU279" s="116"/>
      <c r="DV279" s="116"/>
      <c r="DW279" s="116"/>
      <c r="DX279" s="116"/>
      <c r="DY279" s="116"/>
      <c r="DZ279" s="116"/>
      <c r="EA279" s="116"/>
      <c r="EB279" s="116"/>
    </row>
  </sheetData>
  <sheetProtection/>
  <mergeCells count="14">
    <mergeCell ref="N8:N9"/>
    <mergeCell ref="O8:O9"/>
    <mergeCell ref="J8:J9"/>
    <mergeCell ref="K8:K9"/>
    <mergeCell ref="L8:L9"/>
    <mergeCell ref="M8:M9"/>
    <mergeCell ref="A3:M3"/>
    <mergeCell ref="A4:M4"/>
    <mergeCell ref="A8:A9"/>
    <mergeCell ref="B8:B9"/>
    <mergeCell ref="C8:C9"/>
    <mergeCell ref="H8:H9"/>
    <mergeCell ref="I8:I9"/>
    <mergeCell ref="D8:G8"/>
  </mergeCells>
  <hyperlinks>
    <hyperlink ref="A1" location="Содержание!A1" display="Вернуться к содержанию"/>
  </hyperlinks>
  <printOptions horizontalCentered="1" verticalCentered="1"/>
  <pageMargins left="0.3937007874015748" right="0.3937007874015748" top="0.3937007874015748" bottom="0.44" header="0.1968503937007874" footer="0.1968503937007874"/>
  <pageSetup fitToHeight="2" horizontalDpi="300" verticalDpi="300" orientation="landscape" paperSize="9" scale="88" r:id="rId1"/>
  <headerFooter alignWithMargins="0">
    <oddHeader>&amp;LТабл.&amp;RБЮДЖЕТ</oddHeader>
    <oddFooter>&amp;L&amp;8&amp;F01_v01&amp;R&amp;8&amp;D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="90" zoomScaleNormal="90" zoomScalePageLayoutView="0" workbookViewId="0" topLeftCell="B1">
      <pane ySplit="9" topLeftCell="A16" activePane="bottomLeft" state="frozen"/>
      <selection pane="topLeft" activeCell="B1" sqref="B1"/>
      <selection pane="bottomLeft" activeCell="A1" sqref="A1"/>
    </sheetView>
  </sheetViews>
  <sheetFormatPr defaultColWidth="9.00390625" defaultRowHeight="12.75"/>
  <cols>
    <col min="1" max="1" width="6.00390625" style="207" hidden="1" customWidth="1"/>
    <col min="2" max="2" width="47.625" style="207" customWidth="1"/>
    <col min="3" max="3" width="12.75390625" style="207" customWidth="1"/>
    <col min="4" max="15" width="12.625" style="207" bestFit="1" customWidth="1"/>
    <col min="16" max="16384" width="9.125" style="207" customWidth="1"/>
  </cols>
  <sheetData>
    <row r="1" spans="2:3" s="2" customFormat="1" ht="12.75">
      <c r="B1" s="6" t="s">
        <v>129</v>
      </c>
      <c r="C1" s="8"/>
    </row>
    <row r="2" spans="1:13" s="12" customFormat="1" ht="18.75">
      <c r="A2" s="1149" t="s">
        <v>14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</row>
    <row r="3" spans="1:13" s="12" customFormat="1" ht="18.75">
      <c r="A3" s="1149"/>
      <c r="B3" s="1149"/>
      <c r="C3" s="1149"/>
      <c r="D3" s="1149"/>
      <c r="E3" s="1149"/>
      <c r="F3" s="1149"/>
      <c r="G3" s="1149"/>
      <c r="H3" s="1149"/>
      <c r="I3" s="1149"/>
      <c r="J3" s="1149"/>
      <c r="K3" s="1149"/>
      <c r="L3" s="1149"/>
      <c r="M3" s="1149"/>
    </row>
    <row r="4" spans="1:7" s="12" customFormat="1" ht="13.5">
      <c r="A4" s="96"/>
      <c r="B4" s="96"/>
      <c r="C4" s="97"/>
      <c r="D4" s="97"/>
      <c r="E4" s="97"/>
      <c r="F4" s="97"/>
      <c r="G4" s="98"/>
    </row>
    <row r="5" ht="12.75">
      <c r="B5" s="213"/>
    </row>
    <row r="6" ht="12.75">
      <c r="B6" s="213"/>
    </row>
    <row r="7" spans="1:15" s="94" customFormat="1" ht="12.75" customHeight="1">
      <c r="A7" s="1147"/>
      <c r="B7" s="1150" t="s">
        <v>102</v>
      </c>
      <c r="C7" s="1121">
        <f>D7-1</f>
        <v>2005</v>
      </c>
      <c r="D7" s="1129">
        <f>Параметры!D3</f>
        <v>2006</v>
      </c>
      <c r="E7" s="1130"/>
      <c r="F7" s="1130"/>
      <c r="G7" s="1131"/>
      <c r="H7" s="1133">
        <f>D7+1</f>
        <v>2007</v>
      </c>
      <c r="I7" s="1121">
        <f>H7+1</f>
        <v>2008</v>
      </c>
      <c r="J7" s="1121">
        <f aca="true" t="shared" si="0" ref="J7:O7">I7+1</f>
        <v>2009</v>
      </c>
      <c r="K7" s="1121">
        <f t="shared" si="0"/>
        <v>2010</v>
      </c>
      <c r="L7" s="1121">
        <f t="shared" si="0"/>
        <v>2011</v>
      </c>
      <c r="M7" s="1121">
        <f t="shared" si="0"/>
        <v>2012</v>
      </c>
      <c r="N7" s="1121">
        <f t="shared" si="0"/>
        <v>2013</v>
      </c>
      <c r="O7" s="1121">
        <f t="shared" si="0"/>
        <v>2014</v>
      </c>
    </row>
    <row r="8" spans="1:15" s="94" customFormat="1" ht="12.75">
      <c r="A8" s="1148"/>
      <c r="B8" s="1151"/>
      <c r="C8" s="1122"/>
      <c r="D8" s="763" t="s">
        <v>725</v>
      </c>
      <c r="E8" s="763" t="s">
        <v>726</v>
      </c>
      <c r="F8" s="763" t="s">
        <v>727</v>
      </c>
      <c r="G8" s="763" t="s">
        <v>728</v>
      </c>
      <c r="H8" s="1134"/>
      <c r="I8" s="1122"/>
      <c r="J8" s="1122"/>
      <c r="K8" s="1122"/>
      <c r="L8" s="1122"/>
      <c r="M8" s="1122"/>
      <c r="N8" s="1122"/>
      <c r="O8" s="1122"/>
    </row>
    <row r="9" spans="1:15" s="93" customFormat="1" ht="12.75" customHeight="1">
      <c r="A9" s="11"/>
      <c r="B9" s="54">
        <v>1</v>
      </c>
      <c r="C9" s="54">
        <f aca="true" t="shared" si="1" ref="C9:O9">B9+1</f>
        <v>2</v>
      </c>
      <c r="D9" s="54">
        <f t="shared" si="1"/>
        <v>3</v>
      </c>
      <c r="E9" s="54">
        <f t="shared" si="1"/>
        <v>4</v>
      </c>
      <c r="F9" s="54">
        <f t="shared" si="1"/>
        <v>5</v>
      </c>
      <c r="G9" s="54">
        <f t="shared" si="1"/>
        <v>6</v>
      </c>
      <c r="H9" s="54">
        <f t="shared" si="1"/>
        <v>7</v>
      </c>
      <c r="I9" s="54">
        <f t="shared" si="1"/>
        <v>8</v>
      </c>
      <c r="J9" s="54">
        <f t="shared" si="1"/>
        <v>9</v>
      </c>
      <c r="K9" s="54">
        <f>J9+1</f>
        <v>10</v>
      </c>
      <c r="L9" s="54">
        <f t="shared" si="1"/>
        <v>11</v>
      </c>
      <c r="M9" s="54">
        <f t="shared" si="1"/>
        <v>12</v>
      </c>
      <c r="N9" s="54">
        <f t="shared" si="1"/>
        <v>13</v>
      </c>
      <c r="O9" s="54">
        <f t="shared" si="1"/>
        <v>14</v>
      </c>
    </row>
    <row r="10" spans="1:15" s="93" customFormat="1" ht="12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ht="12.75">
      <c r="B11" s="208" t="s">
        <v>603</v>
      </c>
    </row>
    <row r="13" spans="2:15" s="208" customFormat="1" ht="12.75">
      <c r="B13" s="210" t="s">
        <v>386</v>
      </c>
      <c r="C13" s="217"/>
      <c r="D13" s="218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768"/>
    </row>
    <row r="14" spans="2:15" ht="12.75">
      <c r="B14" s="209" t="s">
        <v>153</v>
      </c>
      <c r="C14" s="194"/>
      <c r="D14" s="200">
        <f aca="true" t="shared" si="2" ref="D14:O14">C17</f>
        <v>664936.0967184801</v>
      </c>
      <c r="E14" s="178">
        <f t="shared" si="2"/>
        <v>665936.0967184801</v>
      </c>
      <c r="F14" s="178">
        <f t="shared" si="2"/>
        <v>810936.0967184801</v>
      </c>
      <c r="G14" s="178">
        <f t="shared" si="2"/>
        <v>875436.0967184801</v>
      </c>
      <c r="H14" s="178">
        <f t="shared" si="2"/>
        <v>665936.0967184801</v>
      </c>
      <c r="I14" s="178">
        <f t="shared" si="2"/>
        <v>1114936.09671848</v>
      </c>
      <c r="J14" s="178">
        <f t="shared" si="2"/>
        <v>1214936.09671848</v>
      </c>
      <c r="K14" s="178">
        <f t="shared" si="2"/>
        <v>1314936.09671848</v>
      </c>
      <c r="L14" s="178">
        <f t="shared" si="2"/>
        <v>664936.0967184801</v>
      </c>
      <c r="M14" s="178">
        <f t="shared" si="2"/>
        <v>664936.0967184801</v>
      </c>
      <c r="N14" s="178">
        <f t="shared" si="2"/>
        <v>664936.0967184801</v>
      </c>
      <c r="O14" s="179">
        <f t="shared" si="2"/>
        <v>664936.0967184801</v>
      </c>
    </row>
    <row r="15" spans="2:15" ht="12.75">
      <c r="B15" s="209" t="s">
        <v>387</v>
      </c>
      <c r="C15" s="194"/>
      <c r="D15" s="200">
        <f>Инвестиции!D51</f>
        <v>1000</v>
      </c>
      <c r="E15" s="1045">
        <f>Инвестиции!E51</f>
        <v>146000</v>
      </c>
      <c r="F15" s="1045">
        <f>Инвестиции!F51</f>
        <v>65500</v>
      </c>
      <c r="G15" s="178">
        <f>Инвестиции!G51</f>
        <v>151500</v>
      </c>
      <c r="H15" s="178">
        <f>Инвестиции!H51</f>
        <v>450000</v>
      </c>
      <c r="I15" s="178">
        <f>Инвестиции!I51</f>
        <v>550000</v>
      </c>
      <c r="J15" s="178">
        <f>Инвестиции!J51</f>
        <v>650000</v>
      </c>
      <c r="K15" s="178">
        <f>Инвестиции!K51</f>
        <v>0</v>
      </c>
      <c r="L15" s="178">
        <f>Инвестиции!L51</f>
        <v>0</v>
      </c>
      <c r="M15" s="178">
        <f>Инвестиции!M51</f>
        <v>0</v>
      </c>
      <c r="N15" s="178">
        <f>Инвестиции!N51</f>
        <v>0</v>
      </c>
      <c r="O15" s="179">
        <f>Инвестиции!O51</f>
        <v>0</v>
      </c>
    </row>
    <row r="16" spans="2:15" ht="12.75">
      <c r="B16" s="209" t="s">
        <v>227</v>
      </c>
      <c r="C16" s="194"/>
      <c r="D16" s="200">
        <f>Инвестиции!D56+Инвестиции!D61</f>
        <v>0</v>
      </c>
      <c r="E16" s="178">
        <f>Инвестиции!E56+Инвестиции!E61</f>
        <v>1000</v>
      </c>
      <c r="F16" s="178">
        <f>Инвестиции!F56+Инвестиции!F61</f>
        <v>1000</v>
      </c>
      <c r="G16" s="178">
        <f>Инвестиции!G56+Инвестиции!G61</f>
        <v>361000</v>
      </c>
      <c r="H16" s="1045">
        <f>Инвестиции!H56+Инвестиции!H61</f>
        <v>1000</v>
      </c>
      <c r="I16" s="178">
        <f>Инвестиции!I56+Инвестиции!I61</f>
        <v>450000</v>
      </c>
      <c r="J16" s="178">
        <f>Инвестиции!J56+Инвестиции!J61</f>
        <v>550000</v>
      </c>
      <c r="K16" s="178">
        <f>Инвестиции!K56+Инвестиции!K61</f>
        <v>650000</v>
      </c>
      <c r="L16" s="178">
        <f>Инвестиции!L56+Инвестиции!L61</f>
        <v>0</v>
      </c>
      <c r="M16" s="178">
        <f>Инвестиции!M56+Инвестиции!M61</f>
        <v>0</v>
      </c>
      <c r="N16" s="178">
        <f>Инвестиции!N56+Инвестиции!N61</f>
        <v>0</v>
      </c>
      <c r="O16" s="179">
        <f>Инвестиции!O56+Инвестиции!O61</f>
        <v>0</v>
      </c>
    </row>
    <row r="17" spans="2:15" ht="12.75">
      <c r="B17" s="212" t="s">
        <v>154</v>
      </c>
      <c r="C17" s="220">
        <f>(19200000+49900)/Параметры!C14</f>
        <v>664936.0967184801</v>
      </c>
      <c r="D17" s="221">
        <f aca="true" t="shared" si="3" ref="D17:O17">D14+D15-D16</f>
        <v>665936.0967184801</v>
      </c>
      <c r="E17" s="222">
        <f t="shared" si="3"/>
        <v>810936.0967184801</v>
      </c>
      <c r="F17" s="222">
        <f t="shared" si="3"/>
        <v>875436.0967184801</v>
      </c>
      <c r="G17" s="222">
        <f t="shared" si="3"/>
        <v>665936.0967184801</v>
      </c>
      <c r="H17" s="222">
        <f t="shared" si="3"/>
        <v>1114936.09671848</v>
      </c>
      <c r="I17" s="222">
        <f t="shared" si="3"/>
        <v>1214936.09671848</v>
      </c>
      <c r="J17" s="222">
        <f t="shared" si="3"/>
        <v>1314936.09671848</v>
      </c>
      <c r="K17" s="222">
        <f t="shared" si="3"/>
        <v>664936.0967184801</v>
      </c>
      <c r="L17" s="222">
        <f t="shared" si="3"/>
        <v>664936.0967184801</v>
      </c>
      <c r="M17" s="222">
        <f t="shared" si="3"/>
        <v>664936.0967184801</v>
      </c>
      <c r="N17" s="222">
        <f t="shared" si="3"/>
        <v>664936.0967184801</v>
      </c>
      <c r="O17" s="223">
        <f t="shared" si="3"/>
        <v>664936.0967184801</v>
      </c>
    </row>
    <row r="18" spans="2:15" s="208" customFormat="1" ht="12.75">
      <c r="B18" s="210" t="s">
        <v>226</v>
      </c>
      <c r="C18" s="224"/>
      <c r="D18" s="197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769"/>
    </row>
    <row r="19" spans="2:15" ht="12.75">
      <c r="B19" s="209" t="s">
        <v>153</v>
      </c>
      <c r="C19" s="194"/>
      <c r="D19" s="200">
        <f aca="true" t="shared" si="4" ref="D19:O19">C22</f>
        <v>107395.61312607945</v>
      </c>
      <c r="E19" s="178">
        <f t="shared" si="4"/>
        <v>107395.61312607945</v>
      </c>
      <c r="F19" s="178">
        <f t="shared" si="4"/>
        <v>108395.61312607945</v>
      </c>
      <c r="G19" s="178">
        <f t="shared" si="4"/>
        <v>109395.61312607945</v>
      </c>
      <c r="H19" s="178">
        <f t="shared" si="4"/>
        <v>110395.61312607945</v>
      </c>
      <c r="I19" s="178">
        <f t="shared" si="4"/>
        <v>111395.61312607945</v>
      </c>
      <c r="J19" s="178">
        <f t="shared" si="4"/>
        <v>561395.6131260794</v>
      </c>
      <c r="K19" s="178">
        <f t="shared" si="4"/>
        <v>1111395.6131260796</v>
      </c>
      <c r="L19" s="178">
        <f t="shared" si="4"/>
        <v>1761395.6131260796</v>
      </c>
      <c r="M19" s="178">
        <f t="shared" si="4"/>
        <v>1761395.6131260796</v>
      </c>
      <c r="N19" s="178">
        <f t="shared" si="4"/>
        <v>1761395.6131260796</v>
      </c>
      <c r="O19" s="179">
        <f t="shared" si="4"/>
        <v>1761395.6131260796</v>
      </c>
    </row>
    <row r="20" spans="2:15" ht="12.75">
      <c r="B20" s="209" t="s">
        <v>387</v>
      </c>
      <c r="C20" s="194"/>
      <c r="D20" s="200">
        <f>Инвестиции!D56</f>
        <v>0</v>
      </c>
      <c r="E20" s="178">
        <f>Инвестиции!E56</f>
        <v>1000</v>
      </c>
      <c r="F20" s="178">
        <f>Инвестиции!F56</f>
        <v>1000</v>
      </c>
      <c r="G20" s="178">
        <f>Инвестиции!G56</f>
        <v>1000</v>
      </c>
      <c r="H20" s="178">
        <f>Инвестиции!H56</f>
        <v>1000</v>
      </c>
      <c r="I20" s="178">
        <f>Инвестиции!I56</f>
        <v>450000</v>
      </c>
      <c r="J20" s="178">
        <f>Инвестиции!J56</f>
        <v>550000</v>
      </c>
      <c r="K20" s="178">
        <f>Инвестиции!K56</f>
        <v>650000</v>
      </c>
      <c r="L20" s="178">
        <f>Инвестиции!L56</f>
        <v>0</v>
      </c>
      <c r="M20" s="178">
        <f>Инвестиции!M56</f>
        <v>0</v>
      </c>
      <c r="N20" s="178">
        <f>Инвестиции!N56</f>
        <v>0</v>
      </c>
      <c r="O20" s="179">
        <f>Инвестиции!O56</f>
        <v>0</v>
      </c>
    </row>
    <row r="21" spans="2:15" ht="12.75">
      <c r="B21" s="209" t="s">
        <v>227</v>
      </c>
      <c r="C21" s="219"/>
      <c r="D21" s="199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7"/>
    </row>
    <row r="22" spans="2:15" ht="12.75">
      <c r="B22" s="212" t="s">
        <v>154</v>
      </c>
      <c r="C22" s="220">
        <f>3109103/Параметры!C14</f>
        <v>107395.61312607945</v>
      </c>
      <c r="D22" s="221">
        <f aca="true" t="shared" si="5" ref="D22:O22">D19+D20-D21</f>
        <v>107395.61312607945</v>
      </c>
      <c r="E22" s="222">
        <f t="shared" si="5"/>
        <v>108395.61312607945</v>
      </c>
      <c r="F22" s="222">
        <f t="shared" si="5"/>
        <v>109395.61312607945</v>
      </c>
      <c r="G22" s="222">
        <f t="shared" si="5"/>
        <v>110395.61312607945</v>
      </c>
      <c r="H22" s="222">
        <f t="shared" si="5"/>
        <v>111395.61312607945</v>
      </c>
      <c r="I22" s="222">
        <f t="shared" si="5"/>
        <v>561395.6131260794</v>
      </c>
      <c r="J22" s="222">
        <f t="shared" si="5"/>
        <v>1111395.6131260796</v>
      </c>
      <c r="K22" s="222">
        <f t="shared" si="5"/>
        <v>1761395.6131260796</v>
      </c>
      <c r="L22" s="222">
        <f t="shared" si="5"/>
        <v>1761395.6131260796</v>
      </c>
      <c r="M22" s="222">
        <f t="shared" si="5"/>
        <v>1761395.6131260796</v>
      </c>
      <c r="N22" s="222">
        <f t="shared" si="5"/>
        <v>1761395.6131260796</v>
      </c>
      <c r="O22" s="223">
        <f t="shared" si="5"/>
        <v>1761395.6131260796</v>
      </c>
    </row>
    <row r="23" spans="2:15" s="208" customFormat="1" ht="12.75">
      <c r="B23" s="210" t="s">
        <v>228</v>
      </c>
      <c r="C23" s="224"/>
      <c r="D23" s="197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769"/>
    </row>
    <row r="24" spans="2:15" ht="12.75">
      <c r="B24" s="209" t="s">
        <v>153</v>
      </c>
      <c r="C24" s="194"/>
      <c r="D24" s="200">
        <f aca="true" t="shared" si="6" ref="D24:O24">C27</f>
        <v>23695.751295336788</v>
      </c>
      <c r="E24" s="178">
        <f t="shared" si="6"/>
        <v>23803.146908462866</v>
      </c>
      <c r="F24" s="178">
        <f t="shared" si="6"/>
        <v>23911.542521588945</v>
      </c>
      <c r="G24" s="178">
        <f t="shared" si="6"/>
        <v>24020.938134715023</v>
      </c>
      <c r="H24" s="178">
        <f t="shared" si="6"/>
        <v>24131.3337478411</v>
      </c>
      <c r="I24" s="178">
        <f t="shared" si="6"/>
        <v>24576.91620034542</v>
      </c>
      <c r="J24" s="178">
        <f t="shared" si="6"/>
        <v>26822.498652849736</v>
      </c>
      <c r="K24" s="178">
        <f t="shared" si="6"/>
        <v>31268.081105354053</v>
      </c>
      <c r="L24" s="178">
        <f t="shared" si="6"/>
        <v>38313.663557858374</v>
      </c>
      <c r="M24" s="178">
        <f t="shared" si="6"/>
        <v>45359.246010362695</v>
      </c>
      <c r="N24" s="178">
        <f t="shared" si="6"/>
        <v>52404.828462867015</v>
      </c>
      <c r="O24" s="179">
        <f t="shared" si="6"/>
        <v>59450.410915371336</v>
      </c>
    </row>
    <row r="25" spans="2:15" ht="12.75">
      <c r="B25" s="209" t="s">
        <v>169</v>
      </c>
      <c r="C25" s="194"/>
      <c r="D25" s="178">
        <f>IF(C28&lt;=0,0,IF(C28&lt;(D22*Параметры!$C$19)/4,C28/4,(D22*Параметры!$C$19)/4))</f>
        <v>107.39561312607945</v>
      </c>
      <c r="E25" s="178">
        <f>IF(D28&lt;=0,0,IF(D28&lt;(E22*Параметры!$C$19)/4,D28/4,(E22*Параметры!$C$19)/4))</f>
        <v>108.39561312607945</v>
      </c>
      <c r="F25" s="178">
        <f>IF(E28&lt;=0,0,IF(E28&lt;(F22*Параметры!$C$19)/4,E28/4,(F22*Параметры!$C$19)/4))</f>
        <v>109.39561312607945</v>
      </c>
      <c r="G25" s="178">
        <f>IF(F28&lt;=0,0,IF(F28&lt;(G22*Параметры!$C$19)/4,F28/4,(G22*Параметры!$C$19)/4))</f>
        <v>110.39561312607945</v>
      </c>
      <c r="H25" s="178">
        <f>IF(G28&lt;=0,0,IF(G28&lt;H22*Параметры!$C$19,G28,H22*Параметры!$C$19))</f>
        <v>445.5824525043178</v>
      </c>
      <c r="I25" s="178">
        <f>IF(H28&lt;=0,0,IF(H28&lt;I22*Параметры!$C$19,H28,I22*Параметры!$C$19))</f>
        <v>2245.5824525043176</v>
      </c>
      <c r="J25" s="178">
        <f>IF(I28&lt;=0,0,IF(I28&lt;J22*Параметры!$C$19,I28,J22*Параметры!$C$19))</f>
        <v>4445.582452504318</v>
      </c>
      <c r="K25" s="178">
        <f>IF(J28&lt;=0,0,IF(J28&lt;K22*Параметры!$C$19,J28,K22*Параметры!$C$19))</f>
        <v>7045.582452504318</v>
      </c>
      <c r="L25" s="178">
        <f>IF(K28&lt;=0,0,IF(K28&lt;L22*Параметры!$C$19,K28,L22*Параметры!$C$19))</f>
        <v>7045.582452504318</v>
      </c>
      <c r="M25" s="178">
        <f>IF(L28&lt;=0,0,IF(L28&lt;M22*Параметры!$C$19,L28,M22*Параметры!$C$19))</f>
        <v>7045.582452504318</v>
      </c>
      <c r="N25" s="178">
        <f>IF(M28&lt;=0,0,IF(M28&lt;N22*Параметры!$C$19,M28,N22*Параметры!$C$19))</f>
        <v>7045.582452504318</v>
      </c>
      <c r="O25" s="179">
        <f>IF(N28&lt;=0,0,IF(N28&lt;O22*Параметры!$C$19,N28,O22*Параметры!$C$19))</f>
        <v>7045.582452504318</v>
      </c>
    </row>
    <row r="26" spans="2:15" ht="12.75">
      <c r="B26" s="209" t="s">
        <v>229</v>
      </c>
      <c r="C26" s="219"/>
      <c r="D26" s="199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7"/>
    </row>
    <row r="27" spans="2:15" ht="12.75">
      <c r="B27" s="212" t="s">
        <v>154</v>
      </c>
      <c r="C27" s="220">
        <f>685992/Параметры!C14</f>
        <v>23695.751295336788</v>
      </c>
      <c r="D27" s="221">
        <f aca="true" t="shared" si="7" ref="D27:O27">D24+D25-D26</f>
        <v>23803.146908462866</v>
      </c>
      <c r="E27" s="222">
        <f t="shared" si="7"/>
        <v>23911.542521588945</v>
      </c>
      <c r="F27" s="222">
        <f t="shared" si="7"/>
        <v>24020.938134715023</v>
      </c>
      <c r="G27" s="222">
        <f t="shared" si="7"/>
        <v>24131.3337478411</v>
      </c>
      <c r="H27" s="222">
        <f t="shared" si="7"/>
        <v>24576.91620034542</v>
      </c>
      <c r="I27" s="222">
        <f t="shared" si="7"/>
        <v>26822.498652849736</v>
      </c>
      <c r="J27" s="222">
        <f t="shared" si="7"/>
        <v>31268.081105354053</v>
      </c>
      <c r="K27" s="222">
        <f t="shared" si="7"/>
        <v>38313.663557858374</v>
      </c>
      <c r="L27" s="222">
        <f t="shared" si="7"/>
        <v>45359.246010362695</v>
      </c>
      <c r="M27" s="222">
        <f t="shared" si="7"/>
        <v>52404.828462867015</v>
      </c>
      <c r="N27" s="222">
        <f t="shared" si="7"/>
        <v>59450.410915371336</v>
      </c>
      <c r="O27" s="223">
        <f t="shared" si="7"/>
        <v>66495.99336787565</v>
      </c>
    </row>
    <row r="28" spans="2:15" s="214" customFormat="1" ht="12.75">
      <c r="B28" s="215" t="s">
        <v>170</v>
      </c>
      <c r="C28" s="225">
        <f aca="true" t="shared" si="8" ref="C28:O28">C22-C27</f>
        <v>83699.86183074267</v>
      </c>
      <c r="D28" s="765">
        <f t="shared" si="8"/>
        <v>83592.46621761659</v>
      </c>
      <c r="E28" s="766">
        <f t="shared" si="8"/>
        <v>84484.07060449051</v>
      </c>
      <c r="F28" s="766">
        <f t="shared" si="8"/>
        <v>85374.67499136443</v>
      </c>
      <c r="G28" s="766">
        <f t="shared" si="8"/>
        <v>86264.27937823835</v>
      </c>
      <c r="H28" s="766">
        <f t="shared" si="8"/>
        <v>86818.69692573402</v>
      </c>
      <c r="I28" s="766">
        <f t="shared" si="8"/>
        <v>534573.1144732297</v>
      </c>
      <c r="J28" s="766">
        <f t="shared" si="8"/>
        <v>1080127.5320207255</v>
      </c>
      <c r="K28" s="766">
        <f t="shared" si="8"/>
        <v>1723081.949568221</v>
      </c>
      <c r="L28" s="766">
        <f t="shared" si="8"/>
        <v>1716036.367115717</v>
      </c>
      <c r="M28" s="766">
        <f t="shared" si="8"/>
        <v>1708990.7846632125</v>
      </c>
      <c r="N28" s="766">
        <f t="shared" si="8"/>
        <v>1701945.2022107083</v>
      </c>
      <c r="O28" s="767">
        <f t="shared" si="8"/>
        <v>1694899.6197582039</v>
      </c>
    </row>
    <row r="29" spans="2:15" s="208" customFormat="1" ht="12.75">
      <c r="B29" s="210" t="s">
        <v>230</v>
      </c>
      <c r="C29" s="224"/>
      <c r="D29" s="197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769"/>
    </row>
    <row r="30" spans="2:15" ht="12.75">
      <c r="B30" s="209" t="s">
        <v>153</v>
      </c>
      <c r="C30" s="194"/>
      <c r="D30" s="200">
        <f aca="true" t="shared" si="9" ref="D30:O30">C33</f>
        <v>1233.1606217616581</v>
      </c>
      <c r="E30" s="178">
        <f t="shared" si="9"/>
        <v>1233.1606217616581</v>
      </c>
      <c r="F30" s="178">
        <f t="shared" si="9"/>
        <v>1233.1606217616581</v>
      </c>
      <c r="G30" s="178">
        <f t="shared" si="9"/>
        <v>1233.1606217616581</v>
      </c>
      <c r="H30" s="178">
        <f t="shared" si="9"/>
        <v>361233.16062176164</v>
      </c>
      <c r="I30" s="178">
        <f t="shared" si="9"/>
        <v>361233.16062176164</v>
      </c>
      <c r="J30" s="178">
        <f t="shared" si="9"/>
        <v>361233.16062176164</v>
      </c>
      <c r="K30" s="178">
        <f t="shared" si="9"/>
        <v>361233.16062176164</v>
      </c>
      <c r="L30" s="178">
        <f t="shared" si="9"/>
        <v>361233.16062176164</v>
      </c>
      <c r="M30" s="178">
        <f t="shared" si="9"/>
        <v>361233.16062176164</v>
      </c>
      <c r="N30" s="178">
        <f t="shared" si="9"/>
        <v>361233.16062176164</v>
      </c>
      <c r="O30" s="179">
        <f t="shared" si="9"/>
        <v>361233.16062176164</v>
      </c>
    </row>
    <row r="31" spans="2:15" ht="12.75">
      <c r="B31" s="209" t="s">
        <v>387</v>
      </c>
      <c r="C31" s="194"/>
      <c r="D31" s="200">
        <f>Инвестиции!D61</f>
        <v>0</v>
      </c>
      <c r="E31" s="178">
        <f>Инвестиции!E61</f>
        <v>0</v>
      </c>
      <c r="F31" s="178">
        <f>Инвестиции!F61</f>
        <v>0</v>
      </c>
      <c r="G31" s="178">
        <f>Инвестиции!G61</f>
        <v>360000</v>
      </c>
      <c r="H31" s="178">
        <f>Инвестиции!H61</f>
        <v>0</v>
      </c>
      <c r="I31" s="178">
        <f>Инвестиции!I61</f>
        <v>0</v>
      </c>
      <c r="J31" s="178">
        <f>Инвестиции!J61</f>
        <v>0</v>
      </c>
      <c r="K31" s="178">
        <f>Инвестиции!K61</f>
        <v>0</v>
      </c>
      <c r="L31" s="178">
        <f>Инвестиции!L61</f>
        <v>0</v>
      </c>
      <c r="M31" s="178">
        <f>Инвестиции!M61</f>
        <v>0</v>
      </c>
      <c r="N31" s="178">
        <f>Инвестиции!N61</f>
        <v>0</v>
      </c>
      <c r="O31" s="179">
        <f>Инвестиции!O61</f>
        <v>0</v>
      </c>
    </row>
    <row r="32" spans="2:15" ht="12.75">
      <c r="B32" s="209" t="s">
        <v>227</v>
      </c>
      <c r="C32" s="219"/>
      <c r="D32" s="199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</row>
    <row r="33" spans="2:15" ht="12.75">
      <c r="B33" s="212" t="s">
        <v>154</v>
      </c>
      <c r="C33" s="220">
        <f>(2700+33000)/Параметры!C14</f>
        <v>1233.1606217616581</v>
      </c>
      <c r="D33" s="221">
        <f aca="true" t="shared" si="10" ref="D33:O33">D30+D31-D32</f>
        <v>1233.1606217616581</v>
      </c>
      <c r="E33" s="222">
        <f t="shared" si="10"/>
        <v>1233.1606217616581</v>
      </c>
      <c r="F33" s="222">
        <f t="shared" si="10"/>
        <v>1233.1606217616581</v>
      </c>
      <c r="G33" s="222">
        <f t="shared" si="10"/>
        <v>361233.16062176164</v>
      </c>
      <c r="H33" s="222">
        <f t="shared" si="10"/>
        <v>361233.16062176164</v>
      </c>
      <c r="I33" s="222">
        <f t="shared" si="10"/>
        <v>361233.16062176164</v>
      </c>
      <c r="J33" s="222">
        <f t="shared" si="10"/>
        <v>361233.16062176164</v>
      </c>
      <c r="K33" s="222">
        <f t="shared" si="10"/>
        <v>361233.16062176164</v>
      </c>
      <c r="L33" s="222">
        <f t="shared" si="10"/>
        <v>361233.16062176164</v>
      </c>
      <c r="M33" s="222">
        <f t="shared" si="10"/>
        <v>361233.16062176164</v>
      </c>
      <c r="N33" s="222">
        <f t="shared" si="10"/>
        <v>361233.16062176164</v>
      </c>
      <c r="O33" s="223">
        <f t="shared" si="10"/>
        <v>361233.16062176164</v>
      </c>
    </row>
    <row r="34" spans="2:15" s="208" customFormat="1" ht="12.75">
      <c r="B34" s="1095" t="s">
        <v>231</v>
      </c>
      <c r="C34" s="224"/>
      <c r="D34" s="197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769"/>
    </row>
    <row r="35" spans="2:15" ht="12.75">
      <c r="B35" s="209" t="s">
        <v>153</v>
      </c>
      <c r="C35" s="194"/>
      <c r="D35" s="200">
        <f aca="true" t="shared" si="11" ref="D35:O35">C38</f>
        <v>124.35233160621762</v>
      </c>
      <c r="E35" s="178">
        <f t="shared" si="11"/>
        <v>155.18134715025906</v>
      </c>
      <c r="F35" s="178">
        <f t="shared" si="11"/>
        <v>186.0103626943005</v>
      </c>
      <c r="G35" s="178">
        <f t="shared" si="11"/>
        <v>216.83937823834196</v>
      </c>
      <c r="H35" s="178">
        <f t="shared" si="11"/>
        <v>470.91968911917104</v>
      </c>
      <c r="I35" s="178">
        <f t="shared" si="11"/>
        <v>36594.23575129533</v>
      </c>
      <c r="J35" s="178">
        <f t="shared" si="11"/>
        <v>72717.5518134715</v>
      </c>
      <c r="K35" s="178">
        <f t="shared" si="11"/>
        <v>108840.86787564766</v>
      </c>
      <c r="L35" s="178">
        <f t="shared" si="11"/>
        <v>144964.1839378238</v>
      </c>
      <c r="M35" s="178">
        <f t="shared" si="11"/>
        <v>181087.49999999997</v>
      </c>
      <c r="N35" s="178">
        <f t="shared" si="11"/>
        <v>217210.81606217613</v>
      </c>
      <c r="O35" s="179">
        <f t="shared" si="11"/>
        <v>253334.1321243523</v>
      </c>
    </row>
    <row r="36" spans="2:15" ht="12.75">
      <c r="B36" s="209" t="s">
        <v>169</v>
      </c>
      <c r="C36" s="194"/>
      <c r="D36" s="200">
        <f>IF(C39&lt;=0,0,IF(C39&lt;(D33*Параметры!$C$18)/4,C39/4,(D33*Параметры!$C$18)/4))</f>
        <v>30.829015544041454</v>
      </c>
      <c r="E36" s="178">
        <f>IF(D39&lt;=0,0,IF(D39&lt;(E33*Параметры!$C$18)/4,D39/4,(E33*Параметры!$C$18)/4))</f>
        <v>30.829015544041454</v>
      </c>
      <c r="F36" s="178">
        <f>IF(E39&lt;=0,0,IF(E39&lt;(F33*Параметры!$C$18)/4,E39/4,(F33*Параметры!$C$18)/4))</f>
        <v>30.829015544041454</v>
      </c>
      <c r="G36" s="178">
        <f>IF(F39&lt;=0,0,IF(F39&lt;(G33*Параметры!$C$18)/4,F39/4,(G33*Параметры!$C$18)/4))</f>
        <v>254.08031088082905</v>
      </c>
      <c r="H36" s="178">
        <f>IF(G39&lt;=0,0,IF(G39&lt;H33*Параметры!$C$18,G39,H33*Параметры!$C$18))</f>
        <v>36123.31606217616</v>
      </c>
      <c r="I36" s="178">
        <f>IF(H39&lt;=0,0,IF(H39&lt;I33*Параметры!$C$18,H39,I33*Параметры!$C$18))</f>
        <v>36123.31606217616</v>
      </c>
      <c r="J36" s="178">
        <f>IF(I39&lt;=0,0,IF(I39&lt;J33*Параметры!$C$18,I39,J33*Параметры!$C$18))</f>
        <v>36123.31606217616</v>
      </c>
      <c r="K36" s="178">
        <f>IF(J39&lt;=0,0,IF(J39&lt;K33*Параметры!$C$18,J39,K33*Параметры!$C$18))</f>
        <v>36123.31606217616</v>
      </c>
      <c r="L36" s="178">
        <f>IF(K39&lt;=0,0,IF(K39&lt;L33*Параметры!$C$18,K39,L33*Параметры!$C$18))</f>
        <v>36123.31606217616</v>
      </c>
      <c r="M36" s="178">
        <f>IF(L39&lt;=0,0,IF(L39&lt;M33*Параметры!$C$18,L39,M33*Параметры!$C$18))</f>
        <v>36123.31606217616</v>
      </c>
      <c r="N36" s="178">
        <f>IF(M39&lt;=0,0,IF(M39&lt;N33*Параметры!$C$18,M39,N33*Параметры!$C$18))</f>
        <v>36123.31606217616</v>
      </c>
      <c r="O36" s="179">
        <f>IF(N39&lt;=0,0,IF(N39&lt;O33*Параметры!$C$18,N39,O33*Параметры!$C$18))</f>
        <v>36123.31606217616</v>
      </c>
    </row>
    <row r="37" spans="2:15" ht="12.75">
      <c r="B37" s="209" t="s">
        <v>229</v>
      </c>
      <c r="C37" s="219"/>
      <c r="D37" s="199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7"/>
    </row>
    <row r="38" spans="2:15" ht="12.75">
      <c r="B38" s="212" t="s">
        <v>154</v>
      </c>
      <c r="C38" s="220">
        <f>3600/Параметры!C14</f>
        <v>124.35233160621762</v>
      </c>
      <c r="D38" s="221">
        <f aca="true" t="shared" si="12" ref="D38:O38">D35+D36-D37</f>
        <v>155.18134715025906</v>
      </c>
      <c r="E38" s="222">
        <f t="shared" si="12"/>
        <v>186.0103626943005</v>
      </c>
      <c r="F38" s="222">
        <f t="shared" si="12"/>
        <v>216.83937823834196</v>
      </c>
      <c r="G38" s="222">
        <f t="shared" si="12"/>
        <v>470.91968911917104</v>
      </c>
      <c r="H38" s="222">
        <f t="shared" si="12"/>
        <v>36594.23575129533</v>
      </c>
      <c r="I38" s="222">
        <f t="shared" si="12"/>
        <v>72717.5518134715</v>
      </c>
      <c r="J38" s="222">
        <f t="shared" si="12"/>
        <v>108840.86787564766</v>
      </c>
      <c r="K38" s="222">
        <f t="shared" si="12"/>
        <v>144964.1839378238</v>
      </c>
      <c r="L38" s="222">
        <f t="shared" si="12"/>
        <v>181087.49999999997</v>
      </c>
      <c r="M38" s="222">
        <f t="shared" si="12"/>
        <v>217210.81606217613</v>
      </c>
      <c r="N38" s="222">
        <f t="shared" si="12"/>
        <v>253334.1321243523</v>
      </c>
      <c r="O38" s="223">
        <f t="shared" si="12"/>
        <v>289457.44818652846</v>
      </c>
    </row>
    <row r="39" spans="2:15" s="214" customFormat="1" ht="12.75">
      <c r="B39" s="215" t="s">
        <v>232</v>
      </c>
      <c r="C39" s="225">
        <f aca="true" t="shared" si="13" ref="C39:O39">C33-C38</f>
        <v>1108.8082901554405</v>
      </c>
      <c r="D39" s="221">
        <f t="shared" si="13"/>
        <v>1077.979274611399</v>
      </c>
      <c r="E39" s="222">
        <f t="shared" si="13"/>
        <v>1047.1502590673576</v>
      </c>
      <c r="F39" s="222">
        <f t="shared" si="13"/>
        <v>1016.3212435233162</v>
      </c>
      <c r="G39" s="223">
        <f t="shared" si="13"/>
        <v>360762.2409326425</v>
      </c>
      <c r="H39" s="226">
        <f t="shared" si="13"/>
        <v>324638.9248704663</v>
      </c>
      <c r="I39" s="226">
        <f t="shared" si="13"/>
        <v>288515.60880829016</v>
      </c>
      <c r="J39" s="226">
        <f t="shared" si="13"/>
        <v>252392.29274611396</v>
      </c>
      <c r="K39" s="226">
        <f t="shared" si="13"/>
        <v>216268.97668393783</v>
      </c>
      <c r="L39" s="226">
        <f t="shared" si="13"/>
        <v>180145.66062176166</v>
      </c>
      <c r="M39" s="226">
        <f t="shared" si="13"/>
        <v>144022.3445595855</v>
      </c>
      <c r="N39" s="226">
        <f t="shared" si="13"/>
        <v>107899.02849740934</v>
      </c>
      <c r="O39" s="226">
        <f t="shared" si="13"/>
        <v>71775.71243523317</v>
      </c>
    </row>
  </sheetData>
  <sheetProtection/>
  <mergeCells count="14">
    <mergeCell ref="N7:N8"/>
    <mergeCell ref="O7:O8"/>
    <mergeCell ref="J7:J8"/>
    <mergeCell ref="K7:K8"/>
    <mergeCell ref="L7:L8"/>
    <mergeCell ref="M7:M8"/>
    <mergeCell ref="A2:M2"/>
    <mergeCell ref="A3:M3"/>
    <mergeCell ref="A7:A8"/>
    <mergeCell ref="B7:B8"/>
    <mergeCell ref="C7:C8"/>
    <mergeCell ref="H7:H8"/>
    <mergeCell ref="I7:I8"/>
    <mergeCell ref="D7:G7"/>
  </mergeCells>
  <hyperlinks>
    <hyperlink ref="B1" location="Содержание!A1" display="Вернуться к содержанию"/>
  </hyperlinks>
  <printOptions/>
  <pageMargins left="0.75" right="0.75" top="1" bottom="1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3"/>
  <sheetViews>
    <sheetView zoomScale="90" zoomScaleNormal="90" zoomScalePageLayoutView="0" workbookViewId="0" topLeftCell="B1">
      <pane ySplit="9" topLeftCell="A10" activePane="bottomLeft" state="frozen"/>
      <selection pane="topLeft" activeCell="B1" sqref="B1"/>
      <selection pane="bottomLeft" activeCell="J1" sqref="J1"/>
    </sheetView>
  </sheetViews>
  <sheetFormatPr defaultColWidth="9.00390625" defaultRowHeight="12.75"/>
  <cols>
    <col min="1" max="1" width="8.75390625" style="2" hidden="1" customWidth="1"/>
    <col min="2" max="2" width="43.625" style="2" customWidth="1"/>
    <col min="3" max="3" width="10.375" style="2" bestFit="1" customWidth="1"/>
    <col min="4" max="4" width="10.625" style="2" bestFit="1" customWidth="1"/>
    <col min="5" max="5" width="10.25390625" style="2" bestFit="1" customWidth="1"/>
    <col min="6" max="6" width="11.25390625" style="2" bestFit="1" customWidth="1"/>
    <col min="7" max="7" width="11.625" style="2" bestFit="1" customWidth="1"/>
    <col min="8" max="8" width="10.875" style="2" bestFit="1" customWidth="1"/>
    <col min="9" max="9" width="12.00390625" style="2" bestFit="1" customWidth="1"/>
    <col min="10" max="10" width="10.875" style="2" bestFit="1" customWidth="1"/>
    <col min="11" max="11" width="12.25390625" style="2" customWidth="1"/>
    <col min="12" max="12" width="8.00390625" style="2" bestFit="1" customWidth="1"/>
    <col min="13" max="15" width="9.00390625" style="2" bestFit="1" customWidth="1"/>
    <col min="16" max="16384" width="9.125" style="2" customWidth="1"/>
  </cols>
  <sheetData>
    <row r="1" spans="2:3" ht="12.75">
      <c r="B1" s="6" t="s">
        <v>129</v>
      </c>
      <c r="C1" s="8"/>
    </row>
    <row r="2" spans="1:13" s="12" customFormat="1" ht="18.75">
      <c r="A2" s="1149" t="s">
        <v>18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</row>
    <row r="3" spans="1:13" s="12" customFormat="1" ht="18.75">
      <c r="A3" s="1149"/>
      <c r="B3" s="1149"/>
      <c r="C3" s="1149"/>
      <c r="D3" s="1149"/>
      <c r="E3" s="1149"/>
      <c r="F3" s="1149"/>
      <c r="G3" s="1149"/>
      <c r="H3" s="1149"/>
      <c r="I3" s="1149"/>
      <c r="J3" s="1149"/>
      <c r="K3" s="1149"/>
      <c r="L3" s="1149"/>
      <c r="M3" s="1149"/>
    </row>
    <row r="4" spans="1:8" s="12" customFormat="1" ht="13.5">
      <c r="A4" s="96"/>
      <c r="B4" s="96"/>
      <c r="C4" s="97"/>
      <c r="D4" s="97"/>
      <c r="E4" s="97"/>
      <c r="F4" s="97"/>
      <c r="G4" s="98"/>
      <c r="H4" s="69"/>
    </row>
    <row r="5" spans="1:8" s="12" customFormat="1" ht="13.5">
      <c r="A5" s="96"/>
      <c r="B5" s="96"/>
      <c r="C5" s="97"/>
      <c r="D5" s="97"/>
      <c r="E5" s="97"/>
      <c r="F5" s="97"/>
      <c r="G5" s="97"/>
      <c r="H5" s="69"/>
    </row>
    <row r="6" spans="1:8" s="12" customFormat="1" ht="19.5" customHeight="1">
      <c r="A6" s="96"/>
      <c r="B6" s="96"/>
      <c r="C6" s="97"/>
      <c r="D6" s="1096"/>
      <c r="E6" s="1096"/>
      <c r="F6" s="1096"/>
      <c r="G6" s="1097"/>
      <c r="H6" s="1098"/>
    </row>
    <row r="7" spans="1:15" s="94" customFormat="1" ht="12.75" customHeight="1">
      <c r="A7" s="1147" t="s">
        <v>255</v>
      </c>
      <c r="B7" s="1147" t="s">
        <v>368</v>
      </c>
      <c r="C7" s="1121">
        <f>D7-1</f>
        <v>2005</v>
      </c>
      <c r="D7" s="1129">
        <f>Параметры!D3</f>
        <v>2006</v>
      </c>
      <c r="E7" s="1130"/>
      <c r="F7" s="1130"/>
      <c r="G7" s="1131"/>
      <c r="H7" s="1133">
        <f>D7+1</f>
        <v>2007</v>
      </c>
      <c r="I7" s="1134">
        <f aca="true" t="shared" si="0" ref="I7:O7">H7+1</f>
        <v>2008</v>
      </c>
      <c r="J7" s="1134">
        <f t="shared" si="0"/>
        <v>2009</v>
      </c>
      <c r="K7" s="1134">
        <f t="shared" si="0"/>
        <v>2010</v>
      </c>
      <c r="L7" s="1134">
        <f t="shared" si="0"/>
        <v>2011</v>
      </c>
      <c r="M7" s="1134">
        <f t="shared" si="0"/>
        <v>2012</v>
      </c>
      <c r="N7" s="1134">
        <f t="shared" si="0"/>
        <v>2013</v>
      </c>
      <c r="O7" s="1134">
        <f t="shared" si="0"/>
        <v>2014</v>
      </c>
    </row>
    <row r="8" spans="1:15" s="94" customFormat="1" ht="12.75">
      <c r="A8" s="1148"/>
      <c r="B8" s="1148"/>
      <c r="C8" s="1122"/>
      <c r="D8" s="763" t="s">
        <v>725</v>
      </c>
      <c r="E8" s="763" t="s">
        <v>726</v>
      </c>
      <c r="F8" s="763" t="s">
        <v>727</v>
      </c>
      <c r="G8" s="763" t="s">
        <v>728</v>
      </c>
      <c r="H8" s="1134"/>
      <c r="I8" s="1134"/>
      <c r="J8" s="1134"/>
      <c r="K8" s="1134"/>
      <c r="L8" s="1134"/>
      <c r="M8" s="1134"/>
      <c r="N8" s="1134"/>
      <c r="O8" s="1134"/>
    </row>
    <row r="9" spans="1:15" s="93" customFormat="1" ht="12.75" customHeight="1">
      <c r="A9" s="11">
        <v>1</v>
      </c>
      <c r="B9" s="54">
        <f>A9+1</f>
        <v>2</v>
      </c>
      <c r="C9" s="54">
        <f aca="true" t="shared" si="1" ref="C9:O9">B9+1</f>
        <v>3</v>
      </c>
      <c r="D9" s="54">
        <f t="shared" si="1"/>
        <v>4</v>
      </c>
      <c r="E9" s="54">
        <f t="shared" si="1"/>
        <v>5</v>
      </c>
      <c r="F9" s="54">
        <f t="shared" si="1"/>
        <v>6</v>
      </c>
      <c r="G9" s="54">
        <f t="shared" si="1"/>
        <v>7</v>
      </c>
      <c r="H9" s="54">
        <f t="shared" si="1"/>
        <v>8</v>
      </c>
      <c r="I9" s="54">
        <f t="shared" si="1"/>
        <v>9</v>
      </c>
      <c r="J9" s="54">
        <f t="shared" si="1"/>
        <v>10</v>
      </c>
      <c r="K9" s="54">
        <f t="shared" si="1"/>
        <v>11</v>
      </c>
      <c r="L9" s="54">
        <f t="shared" si="1"/>
        <v>12</v>
      </c>
      <c r="M9" s="54">
        <f t="shared" si="1"/>
        <v>13</v>
      </c>
      <c r="N9" s="54">
        <f t="shared" si="1"/>
        <v>14</v>
      </c>
      <c r="O9" s="54">
        <f t="shared" si="1"/>
        <v>15</v>
      </c>
    </row>
    <row r="10" spans="2:15" s="1" customFormat="1" ht="25.5" collapsed="1">
      <c r="B10" s="55" t="s">
        <v>604</v>
      </c>
      <c r="C10" s="48"/>
      <c r="D10" s="202">
        <f>SUM(D11,D12,D17,D18,D21)</f>
        <v>0</v>
      </c>
      <c r="E10" s="174">
        <f aca="true" t="shared" si="2" ref="E10:O10">SUM(E11,E12,E17,E18,E21)</f>
        <v>145000</v>
      </c>
      <c r="F10" s="174">
        <f t="shared" si="2"/>
        <v>64500</v>
      </c>
      <c r="G10" s="174">
        <f t="shared" si="2"/>
        <v>150500</v>
      </c>
      <c r="H10" s="174">
        <f t="shared" si="2"/>
        <v>450000</v>
      </c>
      <c r="I10" s="174">
        <f t="shared" si="2"/>
        <v>550000</v>
      </c>
      <c r="J10" s="174">
        <f t="shared" si="2"/>
        <v>650000</v>
      </c>
      <c r="K10" s="174">
        <f t="shared" si="2"/>
        <v>0</v>
      </c>
      <c r="L10" s="174">
        <f t="shared" si="2"/>
        <v>0</v>
      </c>
      <c r="M10" s="174">
        <f t="shared" si="2"/>
        <v>0</v>
      </c>
      <c r="N10" s="174">
        <f t="shared" si="2"/>
        <v>0</v>
      </c>
      <c r="O10" s="175">
        <f t="shared" si="2"/>
        <v>0</v>
      </c>
    </row>
    <row r="11" spans="2:15" ht="12.75">
      <c r="B11" s="5" t="s">
        <v>369</v>
      </c>
      <c r="C11" s="47"/>
      <c r="D11" s="199"/>
      <c r="E11" s="176"/>
      <c r="F11" s="176"/>
      <c r="G11" s="176"/>
      <c r="H11" s="176">
        <v>150000</v>
      </c>
      <c r="I11" s="176">
        <v>200000</v>
      </c>
      <c r="J11" s="176">
        <v>200000</v>
      </c>
      <c r="K11" s="176"/>
      <c r="L11" s="176"/>
      <c r="M11" s="176"/>
      <c r="N11" s="176"/>
      <c r="O11" s="177"/>
    </row>
    <row r="12" spans="2:15" ht="12.75">
      <c r="B12" s="5" t="s">
        <v>370</v>
      </c>
      <c r="C12" s="47"/>
      <c r="D12" s="200">
        <f aca="true" t="shared" si="3" ref="D12:O12">SUM(D13:D16)</f>
        <v>0</v>
      </c>
      <c r="E12" s="178">
        <f t="shared" si="3"/>
        <v>0</v>
      </c>
      <c r="F12" s="178">
        <f t="shared" si="3"/>
        <v>0</v>
      </c>
      <c r="G12" s="178">
        <f t="shared" si="3"/>
        <v>0</v>
      </c>
      <c r="H12" s="178">
        <f t="shared" si="3"/>
        <v>150000</v>
      </c>
      <c r="I12" s="178">
        <f t="shared" si="3"/>
        <v>200000</v>
      </c>
      <c r="J12" s="178">
        <f t="shared" si="3"/>
        <v>250000</v>
      </c>
      <c r="K12" s="178">
        <f t="shared" si="3"/>
        <v>0</v>
      </c>
      <c r="L12" s="178">
        <f t="shared" si="3"/>
        <v>0</v>
      </c>
      <c r="M12" s="178">
        <f t="shared" si="3"/>
        <v>0</v>
      </c>
      <c r="N12" s="178">
        <f t="shared" si="3"/>
        <v>0</v>
      </c>
      <c r="O12" s="179">
        <f t="shared" si="3"/>
        <v>0</v>
      </c>
    </row>
    <row r="13" spans="2:15" s="42" customFormat="1" ht="12.75">
      <c r="B13" s="51" t="s">
        <v>371</v>
      </c>
      <c r="C13" s="180"/>
      <c r="D13" s="20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</row>
    <row r="14" spans="2:15" s="42" customFormat="1" ht="12.75">
      <c r="B14" s="51" t="s">
        <v>372</v>
      </c>
      <c r="C14" s="180"/>
      <c r="D14" s="20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2"/>
    </row>
    <row r="15" spans="2:15" s="42" customFormat="1" ht="12.75">
      <c r="B15" s="51" t="s">
        <v>373</v>
      </c>
      <c r="C15" s="180"/>
      <c r="D15" s="20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</row>
    <row r="16" spans="2:15" s="42" customFormat="1" ht="12.75">
      <c r="B16" s="51" t="s">
        <v>376</v>
      </c>
      <c r="C16" s="180"/>
      <c r="D16" s="201"/>
      <c r="E16" s="181"/>
      <c r="F16" s="181"/>
      <c r="G16" s="181"/>
      <c r="H16" s="181">
        <v>150000</v>
      </c>
      <c r="I16" s="181">
        <v>200000</v>
      </c>
      <c r="J16" s="181">
        <v>250000</v>
      </c>
      <c r="K16" s="181"/>
      <c r="L16" s="181"/>
      <c r="M16" s="181"/>
      <c r="N16" s="181"/>
      <c r="O16" s="182"/>
    </row>
    <row r="17" spans="2:15" ht="12.75">
      <c r="B17" s="5" t="s">
        <v>377</v>
      </c>
      <c r="C17" s="47"/>
      <c r="D17" s="199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</row>
    <row r="18" spans="2:15" ht="12.75">
      <c r="B18" s="5" t="s">
        <v>197</v>
      </c>
      <c r="C18" s="47"/>
      <c r="D18" s="1107">
        <f>SUM(D19:D20)</f>
        <v>0</v>
      </c>
      <c r="E18" s="1045">
        <f aca="true" t="shared" si="4" ref="E18:O18">SUM(E19:E20)</f>
        <v>145000</v>
      </c>
      <c r="F18" s="1045">
        <f t="shared" si="4"/>
        <v>64500</v>
      </c>
      <c r="G18" s="1045">
        <f t="shared" si="4"/>
        <v>150500</v>
      </c>
      <c r="H18" s="1045">
        <f t="shared" si="4"/>
        <v>0</v>
      </c>
      <c r="I18" s="1045">
        <f t="shared" si="4"/>
        <v>0</v>
      </c>
      <c r="J18" s="1045">
        <f t="shared" si="4"/>
        <v>0</v>
      </c>
      <c r="K18" s="1045">
        <f t="shared" si="4"/>
        <v>0</v>
      </c>
      <c r="L18" s="1045">
        <f t="shared" si="4"/>
        <v>0</v>
      </c>
      <c r="M18" s="1045">
        <f t="shared" si="4"/>
        <v>0</v>
      </c>
      <c r="N18" s="1045">
        <f t="shared" si="4"/>
        <v>0</v>
      </c>
      <c r="O18" s="1106">
        <f t="shared" si="4"/>
        <v>0</v>
      </c>
    </row>
    <row r="19" spans="2:15" ht="12.75">
      <c r="B19" s="51" t="s">
        <v>797</v>
      </c>
      <c r="C19" s="47"/>
      <c r="D19" s="199"/>
      <c r="E19" s="176">
        <f>4350000/Параметры!$E$14</f>
        <v>145000</v>
      </c>
      <c r="F19" s="176">
        <f>6450000*30%/Параметры!$F$14</f>
        <v>64500</v>
      </c>
      <c r="G19" s="176">
        <f>6450000*70%/Параметры!$G$14</f>
        <v>150500</v>
      </c>
      <c r="H19" s="176"/>
      <c r="I19" s="176"/>
      <c r="J19" s="176"/>
      <c r="K19" s="176"/>
      <c r="L19" s="176"/>
      <c r="M19" s="176"/>
      <c r="N19" s="176"/>
      <c r="O19" s="177"/>
    </row>
    <row r="20" spans="2:15" ht="12.75">
      <c r="B20" s="51" t="s">
        <v>798</v>
      </c>
      <c r="C20" s="47"/>
      <c r="D20" s="199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7"/>
    </row>
    <row r="21" spans="2:15" ht="12.75">
      <c r="B21" s="5" t="s">
        <v>378</v>
      </c>
      <c r="C21" s="47"/>
      <c r="D21" s="200">
        <f aca="true" t="shared" si="5" ref="D21:O21">SUM(D22:D24)</f>
        <v>0</v>
      </c>
      <c r="E21" s="178">
        <f t="shared" si="5"/>
        <v>0</v>
      </c>
      <c r="F21" s="178">
        <f t="shared" si="5"/>
        <v>0</v>
      </c>
      <c r="G21" s="178">
        <f t="shared" si="5"/>
        <v>0</v>
      </c>
      <c r="H21" s="178">
        <f t="shared" si="5"/>
        <v>150000</v>
      </c>
      <c r="I21" s="178">
        <f t="shared" si="5"/>
        <v>150000</v>
      </c>
      <c r="J21" s="178">
        <f t="shared" si="5"/>
        <v>200000</v>
      </c>
      <c r="K21" s="178">
        <f t="shared" si="5"/>
        <v>0</v>
      </c>
      <c r="L21" s="178">
        <f t="shared" si="5"/>
        <v>0</v>
      </c>
      <c r="M21" s="178">
        <f t="shared" si="5"/>
        <v>0</v>
      </c>
      <c r="N21" s="178">
        <f t="shared" si="5"/>
        <v>0</v>
      </c>
      <c r="O21" s="179">
        <f t="shared" si="5"/>
        <v>0</v>
      </c>
    </row>
    <row r="22" spans="2:15" ht="12.75">
      <c r="B22" s="51" t="s">
        <v>379</v>
      </c>
      <c r="C22" s="47"/>
      <c r="D22" s="199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7"/>
    </row>
    <row r="23" spans="2:15" s="42" customFormat="1" ht="12.75">
      <c r="B23" s="51" t="s">
        <v>380</v>
      </c>
      <c r="C23" s="180"/>
      <c r="D23" s="20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2:15" s="42" customFormat="1" ht="12.75">
      <c r="B24" s="183" t="s">
        <v>381</v>
      </c>
      <c r="C24" s="184"/>
      <c r="D24" s="201"/>
      <c r="E24" s="181"/>
      <c r="F24" s="181"/>
      <c r="G24" s="181"/>
      <c r="H24" s="181">
        <v>150000</v>
      </c>
      <c r="I24" s="181">
        <v>150000</v>
      </c>
      <c r="J24" s="181">
        <v>200000</v>
      </c>
      <c r="K24" s="181"/>
      <c r="L24" s="181"/>
      <c r="M24" s="181"/>
      <c r="N24" s="181"/>
      <c r="O24" s="182"/>
    </row>
    <row r="25" spans="2:15" s="1" customFormat="1" ht="12.75" collapsed="1">
      <c r="B25" s="55" t="s">
        <v>605</v>
      </c>
      <c r="C25" s="48"/>
      <c r="D25" s="202">
        <f>SUM(D26,D27,D32,D33,D34)</f>
        <v>0</v>
      </c>
      <c r="E25" s="174">
        <f aca="true" t="shared" si="6" ref="E25:O25">SUM(E26,E27,E32,E34)</f>
        <v>0</v>
      </c>
      <c r="F25" s="174">
        <f t="shared" si="6"/>
        <v>0</v>
      </c>
      <c r="G25" s="174">
        <f t="shared" si="6"/>
        <v>0</v>
      </c>
      <c r="H25" s="174">
        <f t="shared" si="6"/>
        <v>0</v>
      </c>
      <c r="I25" s="174">
        <f t="shared" si="6"/>
        <v>0</v>
      </c>
      <c r="J25" s="174">
        <f t="shared" si="6"/>
        <v>0</v>
      </c>
      <c r="K25" s="174">
        <f t="shared" si="6"/>
        <v>0</v>
      </c>
      <c r="L25" s="174">
        <f t="shared" si="6"/>
        <v>0</v>
      </c>
      <c r="M25" s="174">
        <f t="shared" si="6"/>
        <v>0</v>
      </c>
      <c r="N25" s="174">
        <f t="shared" si="6"/>
        <v>0</v>
      </c>
      <c r="O25" s="175">
        <f t="shared" si="6"/>
        <v>0</v>
      </c>
    </row>
    <row r="26" spans="2:15" ht="12.75">
      <c r="B26" s="5" t="s">
        <v>369</v>
      </c>
      <c r="C26" s="47"/>
      <c r="D26" s="199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7"/>
    </row>
    <row r="27" spans="2:15" ht="12.75">
      <c r="B27" s="5" t="s">
        <v>370</v>
      </c>
      <c r="C27" s="47"/>
      <c r="D27" s="200">
        <f aca="true" t="shared" si="7" ref="D27:O27">SUM(D28:D31)</f>
        <v>0</v>
      </c>
      <c r="E27" s="178">
        <f t="shared" si="7"/>
        <v>0</v>
      </c>
      <c r="F27" s="178">
        <f t="shared" si="7"/>
        <v>0</v>
      </c>
      <c r="G27" s="178">
        <f t="shared" si="7"/>
        <v>0</v>
      </c>
      <c r="H27" s="178">
        <f t="shared" si="7"/>
        <v>0</v>
      </c>
      <c r="I27" s="178">
        <f t="shared" si="7"/>
        <v>0</v>
      </c>
      <c r="J27" s="178">
        <f t="shared" si="7"/>
        <v>0</v>
      </c>
      <c r="K27" s="178">
        <f t="shared" si="7"/>
        <v>0</v>
      </c>
      <c r="L27" s="178">
        <f t="shared" si="7"/>
        <v>0</v>
      </c>
      <c r="M27" s="178">
        <f t="shared" si="7"/>
        <v>0</v>
      </c>
      <c r="N27" s="178">
        <f t="shared" si="7"/>
        <v>0</v>
      </c>
      <c r="O27" s="179">
        <f t="shared" si="7"/>
        <v>0</v>
      </c>
    </row>
    <row r="28" spans="2:15" s="42" customFormat="1" ht="12.75">
      <c r="B28" s="51" t="s">
        <v>371</v>
      </c>
      <c r="C28" s="180"/>
      <c r="D28" s="20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2"/>
    </row>
    <row r="29" spans="2:15" s="42" customFormat="1" ht="12.75">
      <c r="B29" s="51" t="s">
        <v>372</v>
      </c>
      <c r="C29" s="180"/>
      <c r="D29" s="20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2"/>
    </row>
    <row r="30" spans="2:15" s="42" customFormat="1" ht="12.75">
      <c r="B30" s="51" t="s">
        <v>373</v>
      </c>
      <c r="C30" s="180"/>
      <c r="D30" s="20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2"/>
    </row>
    <row r="31" spans="2:15" s="42" customFormat="1" ht="12.75">
      <c r="B31" s="51" t="s">
        <v>376</v>
      </c>
      <c r="C31" s="180"/>
      <c r="D31" s="20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2:15" ht="12.75">
      <c r="B32" s="5" t="s">
        <v>377</v>
      </c>
      <c r="C32" s="47"/>
      <c r="D32" s="199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</row>
    <row r="33" spans="2:15" ht="12.75">
      <c r="B33" s="5" t="s">
        <v>197</v>
      </c>
      <c r="C33" s="47"/>
      <c r="D33" s="199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7"/>
    </row>
    <row r="34" spans="2:15" ht="12.75">
      <c r="B34" s="5" t="s">
        <v>378</v>
      </c>
      <c r="C34" s="47"/>
      <c r="D34" s="200">
        <f aca="true" t="shared" si="8" ref="D34:O34">SUM(D35:D37)</f>
        <v>0</v>
      </c>
      <c r="E34" s="178">
        <f t="shared" si="8"/>
        <v>0</v>
      </c>
      <c r="F34" s="178">
        <f t="shared" si="8"/>
        <v>0</v>
      </c>
      <c r="G34" s="178">
        <f t="shared" si="8"/>
        <v>0</v>
      </c>
      <c r="H34" s="178">
        <f t="shared" si="8"/>
        <v>0</v>
      </c>
      <c r="I34" s="178">
        <f t="shared" si="8"/>
        <v>0</v>
      </c>
      <c r="J34" s="178">
        <f t="shared" si="8"/>
        <v>0</v>
      </c>
      <c r="K34" s="178">
        <f t="shared" si="8"/>
        <v>0</v>
      </c>
      <c r="L34" s="178">
        <f t="shared" si="8"/>
        <v>0</v>
      </c>
      <c r="M34" s="178">
        <f t="shared" si="8"/>
        <v>0</v>
      </c>
      <c r="N34" s="178">
        <f t="shared" si="8"/>
        <v>0</v>
      </c>
      <c r="O34" s="179">
        <f t="shared" si="8"/>
        <v>0</v>
      </c>
    </row>
    <row r="35" spans="2:15" ht="12.75">
      <c r="B35" s="51" t="s">
        <v>379</v>
      </c>
      <c r="C35" s="47"/>
      <c r="D35" s="199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7"/>
    </row>
    <row r="36" spans="2:15" s="42" customFormat="1" ht="12.75">
      <c r="B36" s="51" t="s">
        <v>380</v>
      </c>
      <c r="C36" s="180"/>
      <c r="D36" s="20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2"/>
    </row>
    <row r="37" spans="2:15" s="42" customFormat="1" ht="12.75">
      <c r="B37" s="183" t="s">
        <v>381</v>
      </c>
      <c r="C37" s="184"/>
      <c r="D37" s="20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2"/>
    </row>
    <row r="38" spans="2:15" ht="25.5" collapsed="1">
      <c r="B38" s="55" t="s">
        <v>606</v>
      </c>
      <c r="C38" s="47"/>
      <c r="D38" s="202">
        <f>SUM(D39,D40,D45,D46,D47)</f>
        <v>1000</v>
      </c>
      <c r="E38" s="174">
        <f aca="true" t="shared" si="9" ref="E38:O38">SUM(E39,E40,E45,E47)</f>
        <v>1000</v>
      </c>
      <c r="F38" s="174">
        <f t="shared" si="9"/>
        <v>1000</v>
      </c>
      <c r="G38" s="174">
        <f t="shared" si="9"/>
        <v>1000</v>
      </c>
      <c r="H38" s="174">
        <f t="shared" si="9"/>
        <v>0</v>
      </c>
      <c r="I38" s="174">
        <f t="shared" si="9"/>
        <v>0</v>
      </c>
      <c r="J38" s="174">
        <f t="shared" si="9"/>
        <v>0</v>
      </c>
      <c r="K38" s="174">
        <f t="shared" si="9"/>
        <v>0</v>
      </c>
      <c r="L38" s="174">
        <f t="shared" si="9"/>
        <v>0</v>
      </c>
      <c r="M38" s="174">
        <f t="shared" si="9"/>
        <v>0</v>
      </c>
      <c r="N38" s="174">
        <f t="shared" si="9"/>
        <v>0</v>
      </c>
      <c r="O38" s="175">
        <f t="shared" si="9"/>
        <v>0</v>
      </c>
    </row>
    <row r="39" spans="2:15" ht="12.75">
      <c r="B39" s="5" t="s">
        <v>369</v>
      </c>
      <c r="C39" s="47"/>
      <c r="D39" s="199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7"/>
    </row>
    <row r="40" spans="2:15" ht="12.75">
      <c r="B40" s="5" t="s">
        <v>370</v>
      </c>
      <c r="C40" s="47"/>
      <c r="D40" s="200">
        <f aca="true" t="shared" si="10" ref="D40:O40">SUM(D41:D44)</f>
        <v>0</v>
      </c>
      <c r="E40" s="178">
        <f t="shared" si="10"/>
        <v>0</v>
      </c>
      <c r="F40" s="178">
        <f t="shared" si="10"/>
        <v>0</v>
      </c>
      <c r="G40" s="178">
        <f t="shared" si="10"/>
        <v>0</v>
      </c>
      <c r="H40" s="178">
        <f t="shared" si="10"/>
        <v>0</v>
      </c>
      <c r="I40" s="178">
        <f t="shared" si="10"/>
        <v>0</v>
      </c>
      <c r="J40" s="178">
        <f t="shared" si="10"/>
        <v>0</v>
      </c>
      <c r="K40" s="178">
        <f t="shared" si="10"/>
        <v>0</v>
      </c>
      <c r="L40" s="178">
        <f t="shared" si="10"/>
        <v>0</v>
      </c>
      <c r="M40" s="178">
        <f t="shared" si="10"/>
        <v>0</v>
      </c>
      <c r="N40" s="178">
        <f t="shared" si="10"/>
        <v>0</v>
      </c>
      <c r="O40" s="179">
        <f t="shared" si="10"/>
        <v>0</v>
      </c>
    </row>
    <row r="41" spans="2:15" s="42" customFormat="1" ht="12.75">
      <c r="B41" s="51" t="s">
        <v>371</v>
      </c>
      <c r="C41" s="180"/>
      <c r="D41" s="20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</row>
    <row r="42" spans="2:15" s="42" customFormat="1" ht="12.75">
      <c r="B42" s="51" t="s">
        <v>372</v>
      </c>
      <c r="C42" s="180"/>
      <c r="D42" s="20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2"/>
    </row>
    <row r="43" spans="2:15" s="42" customFormat="1" ht="12.75">
      <c r="B43" s="51" t="s">
        <v>373</v>
      </c>
      <c r="C43" s="180"/>
      <c r="D43" s="20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2"/>
    </row>
    <row r="44" spans="2:15" s="42" customFormat="1" ht="12.75">
      <c r="B44" s="51" t="s">
        <v>376</v>
      </c>
      <c r="C44" s="180"/>
      <c r="D44" s="20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2"/>
    </row>
    <row r="45" spans="2:15" ht="12.75">
      <c r="B45" s="5" t="s">
        <v>377</v>
      </c>
      <c r="C45" s="47"/>
      <c r="D45" s="199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7"/>
    </row>
    <row r="46" spans="2:15" ht="12.75">
      <c r="B46" s="5" t="s">
        <v>197</v>
      </c>
      <c r="C46" s="47"/>
      <c r="D46" s="199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7"/>
    </row>
    <row r="47" spans="2:15" ht="12.75">
      <c r="B47" s="5" t="s">
        <v>378</v>
      </c>
      <c r="C47" s="47"/>
      <c r="D47" s="200">
        <f aca="true" t="shared" si="11" ref="D47:O47">SUM(D48:D50)</f>
        <v>1000</v>
      </c>
      <c r="E47" s="178">
        <f t="shared" si="11"/>
        <v>1000</v>
      </c>
      <c r="F47" s="178">
        <f t="shared" si="11"/>
        <v>1000</v>
      </c>
      <c r="G47" s="178">
        <f t="shared" si="11"/>
        <v>1000</v>
      </c>
      <c r="H47" s="178">
        <f t="shared" si="11"/>
        <v>0</v>
      </c>
      <c r="I47" s="178">
        <f t="shared" si="11"/>
        <v>0</v>
      </c>
      <c r="J47" s="178">
        <f t="shared" si="11"/>
        <v>0</v>
      </c>
      <c r="K47" s="178">
        <f t="shared" si="11"/>
        <v>0</v>
      </c>
      <c r="L47" s="178">
        <f t="shared" si="11"/>
        <v>0</v>
      </c>
      <c r="M47" s="178">
        <f t="shared" si="11"/>
        <v>0</v>
      </c>
      <c r="N47" s="178">
        <f t="shared" si="11"/>
        <v>0</v>
      </c>
      <c r="O47" s="179">
        <f t="shared" si="11"/>
        <v>0</v>
      </c>
    </row>
    <row r="48" spans="2:15" ht="12.75">
      <c r="B48" s="51" t="s">
        <v>379</v>
      </c>
      <c r="C48" s="47"/>
      <c r="D48" s="199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7"/>
    </row>
    <row r="49" spans="2:15" s="42" customFormat="1" ht="12.75">
      <c r="B49" s="51" t="s">
        <v>380</v>
      </c>
      <c r="C49" s="180"/>
      <c r="D49" s="201">
        <v>1000</v>
      </c>
      <c r="E49" s="181"/>
      <c r="F49" s="181"/>
      <c r="G49" s="181">
        <v>1000</v>
      </c>
      <c r="H49" s="181"/>
      <c r="I49" s="181"/>
      <c r="J49" s="181"/>
      <c r="K49" s="181"/>
      <c r="L49" s="181"/>
      <c r="M49" s="181"/>
      <c r="N49" s="181"/>
      <c r="O49" s="182"/>
    </row>
    <row r="50" spans="2:15" s="42" customFormat="1" ht="12.75">
      <c r="B50" s="183" t="s">
        <v>381</v>
      </c>
      <c r="C50" s="184"/>
      <c r="D50" s="203"/>
      <c r="E50" s="204">
        <v>1000</v>
      </c>
      <c r="F50" s="204">
        <v>1000</v>
      </c>
      <c r="G50" s="204"/>
      <c r="H50" s="204"/>
      <c r="I50" s="204"/>
      <c r="J50" s="204"/>
      <c r="K50" s="204"/>
      <c r="L50" s="204"/>
      <c r="M50" s="204"/>
      <c r="N50" s="204"/>
      <c r="O50" s="205"/>
    </row>
    <row r="51" spans="2:15" ht="12.75" collapsed="1">
      <c r="B51" s="55" t="s">
        <v>382</v>
      </c>
      <c r="C51" s="4"/>
      <c r="D51" s="185">
        <f aca="true" t="shared" si="12" ref="D51:O51">SUM(D10,D25,D38)</f>
        <v>1000</v>
      </c>
      <c r="E51" s="186">
        <f t="shared" si="12"/>
        <v>146000</v>
      </c>
      <c r="F51" s="186">
        <f t="shared" si="12"/>
        <v>65500</v>
      </c>
      <c r="G51" s="187">
        <f t="shared" si="12"/>
        <v>151500</v>
      </c>
      <c r="H51" s="188">
        <f t="shared" si="12"/>
        <v>450000</v>
      </c>
      <c r="I51" s="188">
        <f t="shared" si="12"/>
        <v>550000</v>
      </c>
      <c r="J51" s="188">
        <f t="shared" si="12"/>
        <v>650000</v>
      </c>
      <c r="K51" s="188">
        <f t="shared" si="12"/>
        <v>0</v>
      </c>
      <c r="L51" s="188">
        <f t="shared" si="12"/>
        <v>0</v>
      </c>
      <c r="M51" s="188">
        <f t="shared" si="12"/>
        <v>0</v>
      </c>
      <c r="N51" s="188">
        <f t="shared" si="12"/>
        <v>0</v>
      </c>
      <c r="O51" s="188">
        <f t="shared" si="12"/>
        <v>0</v>
      </c>
    </row>
    <row r="52" spans="2:15" s="36" customFormat="1" ht="12.75">
      <c r="B52" s="189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</row>
    <row r="53" spans="2:15" ht="12.75">
      <c r="B53" s="5" t="s">
        <v>224</v>
      </c>
      <c r="C53" s="46"/>
      <c r="D53" s="206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2"/>
    </row>
    <row r="54" spans="2:15" ht="12.75">
      <c r="B54" s="55" t="s">
        <v>400</v>
      </c>
      <c r="C54" s="1099"/>
      <c r="D54" s="1100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2"/>
    </row>
    <row r="55" spans="2:15" ht="25.5">
      <c r="B55" s="5" t="s">
        <v>383</v>
      </c>
      <c r="C55" s="193">
        <f>1-C57</f>
        <v>1</v>
      </c>
      <c r="D55" s="200">
        <f>(D51-D33-D46-D18)*$C$55</f>
        <v>1000</v>
      </c>
      <c r="E55" s="178">
        <f aca="true" t="shared" si="13" ref="E55:O55">(E51-E33-E46-E18)*$C$55</f>
        <v>1000</v>
      </c>
      <c r="F55" s="178">
        <f t="shared" si="13"/>
        <v>1000</v>
      </c>
      <c r="G55" s="178">
        <f t="shared" si="13"/>
        <v>1000</v>
      </c>
      <c r="H55" s="178">
        <f t="shared" si="13"/>
        <v>450000</v>
      </c>
      <c r="I55" s="178">
        <f t="shared" si="13"/>
        <v>550000</v>
      </c>
      <c r="J55" s="178">
        <f t="shared" si="13"/>
        <v>650000</v>
      </c>
      <c r="K55" s="178">
        <f t="shared" si="13"/>
        <v>0</v>
      </c>
      <c r="L55" s="178">
        <f t="shared" si="13"/>
        <v>0</v>
      </c>
      <c r="M55" s="178">
        <f t="shared" si="13"/>
        <v>0</v>
      </c>
      <c r="N55" s="178">
        <f t="shared" si="13"/>
        <v>0</v>
      </c>
      <c r="O55" s="179">
        <f t="shared" si="13"/>
        <v>0</v>
      </c>
    </row>
    <row r="56" spans="2:15" ht="12.75">
      <c r="B56" s="1039" t="s">
        <v>384</v>
      </c>
      <c r="C56" s="193"/>
      <c r="D56" s="200">
        <f>SUM(D57:D58)</f>
        <v>0</v>
      </c>
      <c r="E56" s="178">
        <f>SUM(E57:E58)</f>
        <v>1000</v>
      </c>
      <c r="F56" s="178">
        <f aca="true" t="shared" si="14" ref="F56:O56">SUM(F57:F58)</f>
        <v>1000</v>
      </c>
      <c r="G56" s="178">
        <f t="shared" si="14"/>
        <v>1000</v>
      </c>
      <c r="H56" s="178">
        <f t="shared" si="14"/>
        <v>1000</v>
      </c>
      <c r="I56" s="178">
        <f t="shared" si="14"/>
        <v>450000</v>
      </c>
      <c r="J56" s="178">
        <f t="shared" si="14"/>
        <v>550000</v>
      </c>
      <c r="K56" s="178">
        <f t="shared" si="14"/>
        <v>650000</v>
      </c>
      <c r="L56" s="178">
        <f t="shared" si="14"/>
        <v>0</v>
      </c>
      <c r="M56" s="178">
        <f t="shared" si="14"/>
        <v>0</v>
      </c>
      <c r="N56" s="178">
        <f t="shared" si="14"/>
        <v>0</v>
      </c>
      <c r="O56" s="179">
        <f t="shared" si="14"/>
        <v>0</v>
      </c>
    </row>
    <row r="57" spans="2:15" ht="25.5">
      <c r="B57" s="5" t="s">
        <v>385</v>
      </c>
      <c r="C57" s="195">
        <v>0</v>
      </c>
      <c r="D57" s="200">
        <f aca="true" t="shared" si="15" ref="D57:O57">(D51-D18-D33-D46)*$C$57</f>
        <v>0</v>
      </c>
      <c r="E57" s="178">
        <f>(E51-E18-E33-E46)*$C$57</f>
        <v>0</v>
      </c>
      <c r="F57" s="178">
        <f>(F51-F18-F33-F46)*$C$57</f>
        <v>0</v>
      </c>
      <c r="G57" s="178">
        <f>(G51-G18-G33-G46)*$C$57</f>
        <v>0</v>
      </c>
      <c r="H57" s="178">
        <f t="shared" si="15"/>
        <v>0</v>
      </c>
      <c r="I57" s="178">
        <f t="shared" si="15"/>
        <v>0</v>
      </c>
      <c r="J57" s="178">
        <f t="shared" si="15"/>
        <v>0</v>
      </c>
      <c r="K57" s="178">
        <f t="shared" si="15"/>
        <v>0</v>
      </c>
      <c r="L57" s="178">
        <f t="shared" si="15"/>
        <v>0</v>
      </c>
      <c r="M57" s="178">
        <f t="shared" si="15"/>
        <v>0</v>
      </c>
      <c r="N57" s="178">
        <f t="shared" si="15"/>
        <v>0</v>
      </c>
      <c r="O57" s="179">
        <f t="shared" si="15"/>
        <v>0</v>
      </c>
    </row>
    <row r="58" spans="2:15" ht="38.25" customHeight="1">
      <c r="B58" s="5" t="s">
        <v>793</v>
      </c>
      <c r="C58" s="291"/>
      <c r="D58" s="199"/>
      <c r="E58" s="176">
        <f>D55</f>
        <v>1000</v>
      </c>
      <c r="F58" s="176">
        <f aca="true" t="shared" si="16" ref="F58:O58">E55</f>
        <v>1000</v>
      </c>
      <c r="G58" s="176">
        <f t="shared" si="16"/>
        <v>1000</v>
      </c>
      <c r="H58" s="176">
        <f t="shared" si="16"/>
        <v>1000</v>
      </c>
      <c r="I58" s="176">
        <f t="shared" si="16"/>
        <v>450000</v>
      </c>
      <c r="J58" s="176">
        <f t="shared" si="16"/>
        <v>550000</v>
      </c>
      <c r="K58" s="176">
        <f t="shared" si="16"/>
        <v>650000</v>
      </c>
      <c r="L58" s="176">
        <f t="shared" si="16"/>
        <v>0</v>
      </c>
      <c r="M58" s="176">
        <f t="shared" si="16"/>
        <v>0</v>
      </c>
      <c r="N58" s="176">
        <f t="shared" si="16"/>
        <v>0</v>
      </c>
      <c r="O58" s="177">
        <f t="shared" si="16"/>
        <v>0</v>
      </c>
    </row>
    <row r="59" spans="2:15" ht="12.75">
      <c r="B59" s="55" t="s">
        <v>197</v>
      </c>
      <c r="C59" s="1099"/>
      <c r="D59" s="1100"/>
      <c r="E59" s="1101"/>
      <c r="F59" s="1101"/>
      <c r="G59" s="1101"/>
      <c r="H59" s="1101"/>
      <c r="I59" s="1101"/>
      <c r="J59" s="1101"/>
      <c r="K59" s="1101"/>
      <c r="L59" s="1101"/>
      <c r="M59" s="1101"/>
      <c r="N59" s="1101"/>
      <c r="O59" s="1102"/>
    </row>
    <row r="60" spans="2:15" ht="25.5">
      <c r="B60" s="5" t="s">
        <v>383</v>
      </c>
      <c r="C60" s="193">
        <f>1-C62</f>
        <v>1</v>
      </c>
      <c r="D60" s="200">
        <f>(D18+D33+D46)*$C$60</f>
        <v>0</v>
      </c>
      <c r="E60" s="178">
        <f aca="true" t="shared" si="17" ref="E60:O60">(E18+E33+E46)*$C$60</f>
        <v>145000</v>
      </c>
      <c r="F60" s="178">
        <f t="shared" si="17"/>
        <v>64500</v>
      </c>
      <c r="G60" s="178">
        <f t="shared" si="17"/>
        <v>150500</v>
      </c>
      <c r="H60" s="178">
        <f t="shared" si="17"/>
        <v>0</v>
      </c>
      <c r="I60" s="178">
        <f t="shared" si="17"/>
        <v>0</v>
      </c>
      <c r="J60" s="178">
        <f t="shared" si="17"/>
        <v>0</v>
      </c>
      <c r="K60" s="178">
        <f t="shared" si="17"/>
        <v>0</v>
      </c>
      <c r="L60" s="178">
        <f t="shared" si="17"/>
        <v>0</v>
      </c>
      <c r="M60" s="178">
        <f t="shared" si="17"/>
        <v>0</v>
      </c>
      <c r="N60" s="178">
        <f t="shared" si="17"/>
        <v>0</v>
      </c>
      <c r="O60" s="179">
        <f t="shared" si="17"/>
        <v>0</v>
      </c>
    </row>
    <row r="61" spans="2:15" ht="12.75">
      <c r="B61" s="1039" t="s">
        <v>794</v>
      </c>
      <c r="C61" s="193"/>
      <c r="D61" s="200">
        <f>SUM(D62:D63)</f>
        <v>0</v>
      </c>
      <c r="E61" s="178">
        <f aca="true" t="shared" si="18" ref="E61:O61">SUM(E62:E63)</f>
        <v>0</v>
      </c>
      <c r="F61" s="178">
        <f t="shared" si="18"/>
        <v>0</v>
      </c>
      <c r="G61" s="178">
        <f t="shared" si="18"/>
        <v>360000</v>
      </c>
      <c r="H61" s="178">
        <f t="shared" si="18"/>
        <v>0</v>
      </c>
      <c r="I61" s="178">
        <f t="shared" si="18"/>
        <v>0</v>
      </c>
      <c r="J61" s="178">
        <f t="shared" si="18"/>
        <v>0</v>
      </c>
      <c r="K61" s="178">
        <f t="shared" si="18"/>
        <v>0</v>
      </c>
      <c r="L61" s="178">
        <f t="shared" si="18"/>
        <v>0</v>
      </c>
      <c r="M61" s="178">
        <f t="shared" si="18"/>
        <v>0</v>
      </c>
      <c r="N61" s="178">
        <f t="shared" si="18"/>
        <v>0</v>
      </c>
      <c r="O61" s="179">
        <f t="shared" si="18"/>
        <v>0</v>
      </c>
    </row>
    <row r="62" spans="2:15" ht="25.5">
      <c r="B62" s="5" t="s">
        <v>795</v>
      </c>
      <c r="C62" s="195">
        <v>0</v>
      </c>
      <c r="D62" s="200">
        <f>(D22+D35+D48)*$C$62</f>
        <v>0</v>
      </c>
      <c r="E62" s="178">
        <f aca="true" t="shared" si="19" ref="E62:O62">(E22+E35+E48)*$C$62</f>
        <v>0</v>
      </c>
      <c r="F62" s="178">
        <f t="shared" si="19"/>
        <v>0</v>
      </c>
      <c r="G62" s="178">
        <f t="shared" si="19"/>
        <v>0</v>
      </c>
      <c r="H62" s="178">
        <f t="shared" si="19"/>
        <v>0</v>
      </c>
      <c r="I62" s="178">
        <f t="shared" si="19"/>
        <v>0</v>
      </c>
      <c r="J62" s="178">
        <f t="shared" si="19"/>
        <v>0</v>
      </c>
      <c r="K62" s="178">
        <f t="shared" si="19"/>
        <v>0</v>
      </c>
      <c r="L62" s="178">
        <f t="shared" si="19"/>
        <v>0</v>
      </c>
      <c r="M62" s="178">
        <f t="shared" si="19"/>
        <v>0</v>
      </c>
      <c r="N62" s="178">
        <f t="shared" si="19"/>
        <v>0</v>
      </c>
      <c r="O62" s="179">
        <f t="shared" si="19"/>
        <v>0</v>
      </c>
    </row>
    <row r="63" spans="2:15" ht="38.25" customHeight="1">
      <c r="B63" s="5" t="s">
        <v>796</v>
      </c>
      <c r="C63" s="196"/>
      <c r="D63" s="1103"/>
      <c r="E63" s="1104">
        <f>D60</f>
        <v>0</v>
      </c>
      <c r="F63" s="1104"/>
      <c r="G63" s="1104">
        <f>145000+64500+150500</f>
        <v>360000</v>
      </c>
      <c r="H63" s="1104"/>
      <c r="I63" s="1104">
        <f aca="true" t="shared" si="20" ref="I63:O63">H60</f>
        <v>0</v>
      </c>
      <c r="J63" s="1104">
        <f t="shared" si="20"/>
        <v>0</v>
      </c>
      <c r="K63" s="1104">
        <f t="shared" si="20"/>
        <v>0</v>
      </c>
      <c r="L63" s="1104">
        <f t="shared" si="20"/>
        <v>0</v>
      </c>
      <c r="M63" s="1104">
        <f t="shared" si="20"/>
        <v>0</v>
      </c>
      <c r="N63" s="1104">
        <f t="shared" si="20"/>
        <v>0</v>
      </c>
      <c r="O63" s="1105">
        <f t="shared" si="20"/>
        <v>0</v>
      </c>
    </row>
  </sheetData>
  <sheetProtection/>
  <mergeCells count="14">
    <mergeCell ref="N7:N8"/>
    <mergeCell ref="O7:O8"/>
    <mergeCell ref="J7:J8"/>
    <mergeCell ref="K7:K8"/>
    <mergeCell ref="L7:L8"/>
    <mergeCell ref="M7:M8"/>
    <mergeCell ref="A2:M2"/>
    <mergeCell ref="A3:M3"/>
    <mergeCell ref="A7:A8"/>
    <mergeCell ref="B7:B8"/>
    <mergeCell ref="C7:C8"/>
    <mergeCell ref="H7:H8"/>
    <mergeCell ref="I7:I8"/>
    <mergeCell ref="D7:G7"/>
  </mergeCells>
  <hyperlinks>
    <hyperlink ref="B1" location="Содержание!A1" display="Вернуться к содержанию"/>
  </hyperlinks>
  <printOptions/>
  <pageMargins left="0.75" right="0.75" top="0.37" bottom="0.47" header="0.18" footer="0.29"/>
  <pageSetup horizontalDpi="600" verticalDpi="600" orientation="landscape" paperSize="9" scale="6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4"/>
  <sheetViews>
    <sheetView zoomScale="90" zoomScaleNormal="90" zoomScalePageLayoutView="0" workbookViewId="0" topLeftCell="A1">
      <pane ySplit="8" topLeftCell="A63" activePane="bottomLeft" state="frozen"/>
      <selection pane="topLeft" activeCell="A1" sqref="A1"/>
      <selection pane="bottomLeft" activeCell="G84" sqref="G84"/>
    </sheetView>
  </sheetViews>
  <sheetFormatPr defaultColWidth="7.875" defaultRowHeight="12.75" outlineLevelRow="2"/>
  <cols>
    <col min="1" max="1" width="9.75390625" style="871" customWidth="1"/>
    <col min="2" max="2" width="39.875" style="871" bestFit="1" customWidth="1"/>
    <col min="3" max="3" width="8.125" style="838" customWidth="1"/>
    <col min="4" max="4" width="9.25390625" style="839" bestFit="1" customWidth="1"/>
    <col min="5" max="5" width="9.25390625" style="872" bestFit="1" customWidth="1"/>
    <col min="6" max="7" width="10.25390625" style="870" bestFit="1" customWidth="1"/>
    <col min="8" max="15" width="9.75390625" style="870" bestFit="1" customWidth="1"/>
    <col min="16" max="16" width="10.75390625" style="873" bestFit="1" customWidth="1"/>
    <col min="17" max="18" width="7.875" style="870" customWidth="1"/>
    <col min="19" max="19" width="7.75390625" style="870" customWidth="1"/>
    <col min="20" max="20" width="7.875" style="870" customWidth="1"/>
    <col min="21" max="22" width="7.75390625" style="870" customWidth="1"/>
    <col min="23" max="23" width="7.875" style="870" customWidth="1"/>
    <col min="24" max="24" width="8.00390625" style="870" customWidth="1"/>
    <col min="25" max="25" width="7.75390625" style="870" customWidth="1"/>
    <col min="26" max="26" width="7.875" style="870" customWidth="1"/>
    <col min="27" max="27" width="7.25390625" style="870" customWidth="1"/>
    <col min="28" max="28" width="7.75390625" style="870" customWidth="1"/>
    <col min="29" max="30" width="7.875" style="870" customWidth="1"/>
    <col min="31" max="31" width="7.75390625" style="870" customWidth="1"/>
    <col min="32" max="16384" width="7.875" style="870" customWidth="1"/>
  </cols>
  <sheetData>
    <row r="1" spans="1:3" s="2" customFormat="1" ht="12.75">
      <c r="A1" s="6" t="s">
        <v>129</v>
      </c>
      <c r="C1" s="8"/>
    </row>
    <row r="2" spans="1:13" s="12" customFormat="1" ht="18.75">
      <c r="A2" s="1149" t="s">
        <v>699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</row>
    <row r="3" spans="1:7" s="12" customFormat="1" ht="13.5">
      <c r="A3" s="96"/>
      <c r="B3" s="96"/>
      <c r="C3" s="97"/>
      <c r="D3" s="97"/>
      <c r="E3" s="97"/>
      <c r="F3" s="97"/>
      <c r="G3" s="98"/>
    </row>
    <row r="4" spans="1:7" s="12" customFormat="1" ht="13.5">
      <c r="A4" s="96"/>
      <c r="B4" s="96"/>
      <c r="C4" s="97"/>
      <c r="D4" s="985"/>
      <c r="E4" s="985"/>
      <c r="F4" s="985"/>
      <c r="G4" s="98"/>
    </row>
    <row r="5" spans="1:7" s="12" customFormat="1" ht="19.5" customHeight="1">
      <c r="A5" s="96"/>
      <c r="B5" s="96"/>
      <c r="C5" s="97"/>
      <c r="D5" s="97"/>
      <c r="E5" s="97"/>
      <c r="F5" s="97"/>
      <c r="G5" s="98"/>
    </row>
    <row r="6" spans="1:16" s="94" customFormat="1" ht="12.75" customHeight="1">
      <c r="A6" s="1147" t="s">
        <v>255</v>
      </c>
      <c r="B6" s="1150" t="s">
        <v>622</v>
      </c>
      <c r="C6" s="1121">
        <f>D6-1</f>
        <v>2005</v>
      </c>
      <c r="D6" s="1129">
        <f>Параметры!D3</f>
        <v>2006</v>
      </c>
      <c r="E6" s="1130"/>
      <c r="F6" s="1130"/>
      <c r="G6" s="1131"/>
      <c r="H6" s="1119">
        <f>D6+1</f>
        <v>2007</v>
      </c>
      <c r="I6" s="1119">
        <f aca="true" t="shared" si="0" ref="I6:O6">H6+1</f>
        <v>2008</v>
      </c>
      <c r="J6" s="1119">
        <f t="shared" si="0"/>
        <v>2009</v>
      </c>
      <c r="K6" s="1119">
        <f t="shared" si="0"/>
        <v>2010</v>
      </c>
      <c r="L6" s="1119">
        <f t="shared" si="0"/>
        <v>2011</v>
      </c>
      <c r="M6" s="1119">
        <f t="shared" si="0"/>
        <v>2012</v>
      </c>
      <c r="N6" s="1119">
        <f t="shared" si="0"/>
        <v>2013</v>
      </c>
      <c r="O6" s="1121">
        <f t="shared" si="0"/>
        <v>2014</v>
      </c>
      <c r="P6" s="1152" t="s">
        <v>602</v>
      </c>
    </row>
    <row r="7" spans="1:16" s="94" customFormat="1" ht="12.75">
      <c r="A7" s="1148"/>
      <c r="B7" s="1151"/>
      <c r="C7" s="1122"/>
      <c r="D7" s="763" t="s">
        <v>725</v>
      </c>
      <c r="E7" s="763" t="s">
        <v>726</v>
      </c>
      <c r="F7" s="763" t="s">
        <v>727</v>
      </c>
      <c r="G7" s="763" t="s">
        <v>728</v>
      </c>
      <c r="H7" s="1120"/>
      <c r="I7" s="1120"/>
      <c r="J7" s="1120"/>
      <c r="K7" s="1120"/>
      <c r="L7" s="1120"/>
      <c r="M7" s="1120"/>
      <c r="N7" s="1120"/>
      <c r="O7" s="1122"/>
      <c r="P7" s="1153"/>
    </row>
    <row r="8" spans="1:16" s="93" customFormat="1" ht="12.75" customHeight="1">
      <c r="A8" s="11">
        <v>1</v>
      </c>
      <c r="B8" s="54">
        <f>A8+1</f>
        <v>2</v>
      </c>
      <c r="C8" s="54">
        <f aca="true" t="shared" si="1" ref="C8:P8">B8+1</f>
        <v>3</v>
      </c>
      <c r="D8" s="54">
        <f t="shared" si="1"/>
        <v>4</v>
      </c>
      <c r="E8" s="54">
        <f t="shared" si="1"/>
        <v>5</v>
      </c>
      <c r="F8" s="54">
        <f t="shared" si="1"/>
        <v>6</v>
      </c>
      <c r="G8" s="54">
        <f t="shared" si="1"/>
        <v>7</v>
      </c>
      <c r="H8" s="54">
        <f t="shared" si="1"/>
        <v>8</v>
      </c>
      <c r="I8" s="54">
        <f t="shared" si="1"/>
        <v>9</v>
      </c>
      <c r="J8" s="54">
        <f t="shared" si="1"/>
        <v>10</v>
      </c>
      <c r="K8" s="54">
        <f t="shared" si="1"/>
        <v>11</v>
      </c>
      <c r="L8" s="54">
        <f t="shared" si="1"/>
        <v>12</v>
      </c>
      <c r="M8" s="54">
        <f t="shared" si="1"/>
        <v>13</v>
      </c>
      <c r="N8" s="54">
        <f t="shared" si="1"/>
        <v>14</v>
      </c>
      <c r="O8" s="54">
        <f t="shared" si="1"/>
        <v>15</v>
      </c>
      <c r="P8" s="54">
        <f t="shared" si="1"/>
        <v>16</v>
      </c>
    </row>
    <row r="9" spans="3:16" s="787" customFormat="1" ht="15">
      <c r="C9" s="788"/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90"/>
    </row>
    <row r="10" spans="1:16" s="146" customFormat="1" ht="13.5" customHeight="1">
      <c r="A10" s="167" t="s">
        <v>312</v>
      </c>
      <c r="B10" s="146" t="str">
        <f>VLOOKUP(A10,Справочники!$B:$F,3,FALSE)</f>
        <v>Единый социальный налог</v>
      </c>
      <c r="C10" s="791"/>
      <c r="E10" s="792"/>
      <c r="F10" s="792"/>
      <c r="G10" s="792"/>
      <c r="H10" s="793"/>
      <c r="I10" s="793"/>
      <c r="J10" s="793"/>
      <c r="K10" s="793"/>
      <c r="L10" s="793"/>
      <c r="M10" s="793"/>
      <c r="N10" s="793"/>
      <c r="O10" s="793"/>
      <c r="P10" s="794"/>
    </row>
    <row r="11" spans="1:16" s="799" customFormat="1" ht="13.5" customHeight="1">
      <c r="A11" s="795" t="s">
        <v>623</v>
      </c>
      <c r="B11" s="796" t="s">
        <v>731</v>
      </c>
      <c r="C11" s="795"/>
      <c r="D11" s="797">
        <f>'Коммерческий отдел'!D25+'Технический отдел'!D25+'Управленческий блок'!D25</f>
        <v>100020</v>
      </c>
      <c r="E11" s="797">
        <f>D11</f>
        <v>100020</v>
      </c>
      <c r="F11" s="797">
        <f aca="true" t="shared" si="2" ref="F11:O11">E11</f>
        <v>100020</v>
      </c>
      <c r="G11" s="797">
        <f t="shared" si="2"/>
        <v>100020</v>
      </c>
      <c r="H11" s="797">
        <f>'Коммерческий отдел'!H25+'Технический отдел'!H25+'Управленческий блок'!H25</f>
        <v>551350</v>
      </c>
      <c r="I11" s="797">
        <f>'Коммерческий отдел'!I25+'Технический отдел'!I25+'Управленческий блок'!I25</f>
        <v>606485</v>
      </c>
      <c r="J11" s="797">
        <f>'Коммерческий отдел'!J25+'Технический отдел'!J25+'Управленческий блок'!J25</f>
        <v>667133.5</v>
      </c>
      <c r="K11" s="797">
        <f>'Коммерческий отдел'!K25+'Технический отдел'!K25+'Управленческий блок'!K25</f>
        <v>733846.85</v>
      </c>
      <c r="L11" s="797">
        <f t="shared" si="2"/>
        <v>733846.85</v>
      </c>
      <c r="M11" s="797">
        <f t="shared" si="2"/>
        <v>733846.85</v>
      </c>
      <c r="N11" s="797">
        <f t="shared" si="2"/>
        <v>733846.85</v>
      </c>
      <c r="O11" s="797">
        <f t="shared" si="2"/>
        <v>733846.85</v>
      </c>
      <c r="P11" s="798"/>
    </row>
    <row r="12" spans="1:16" s="799" customFormat="1" ht="13.5" customHeight="1" thickBot="1">
      <c r="A12" s="795"/>
      <c r="B12" s="796" t="s">
        <v>732</v>
      </c>
      <c r="C12" s="795"/>
      <c r="D12" s="797">
        <v>29</v>
      </c>
      <c r="E12" s="797">
        <f>D12</f>
        <v>29</v>
      </c>
      <c r="F12" s="797">
        <f aca="true" t="shared" si="3" ref="F12:O12">E12</f>
        <v>29</v>
      </c>
      <c r="G12" s="797">
        <f t="shared" si="3"/>
        <v>29</v>
      </c>
      <c r="H12" s="797">
        <v>38</v>
      </c>
      <c r="I12" s="797">
        <f t="shared" si="3"/>
        <v>38</v>
      </c>
      <c r="J12" s="797">
        <f t="shared" si="3"/>
        <v>38</v>
      </c>
      <c r="K12" s="797">
        <f t="shared" si="3"/>
        <v>38</v>
      </c>
      <c r="L12" s="797">
        <f t="shared" si="3"/>
        <v>38</v>
      </c>
      <c r="M12" s="797">
        <f t="shared" si="3"/>
        <v>38</v>
      </c>
      <c r="N12" s="797">
        <f t="shared" si="3"/>
        <v>38</v>
      </c>
      <c r="O12" s="797">
        <f t="shared" si="3"/>
        <v>38</v>
      </c>
      <c r="P12" s="798"/>
    </row>
    <row r="13" spans="1:16" s="799" customFormat="1" ht="13.5" customHeight="1">
      <c r="A13" s="795"/>
      <c r="B13" s="796" t="s">
        <v>625</v>
      </c>
      <c r="C13" s="795"/>
      <c r="D13" s="798">
        <f>D11/D12</f>
        <v>3448.9655172413795</v>
      </c>
      <c r="E13" s="798">
        <f aca="true" t="shared" si="4" ref="E13:O13">E11/E12</f>
        <v>3448.9655172413795</v>
      </c>
      <c r="F13" s="798">
        <f t="shared" si="4"/>
        <v>3448.9655172413795</v>
      </c>
      <c r="G13" s="798">
        <f t="shared" si="4"/>
        <v>3448.9655172413795</v>
      </c>
      <c r="H13" s="987">
        <f t="shared" si="4"/>
        <v>14509.21052631579</v>
      </c>
      <c r="I13" s="988">
        <f t="shared" si="4"/>
        <v>15960.131578947368</v>
      </c>
      <c r="J13" s="988">
        <f t="shared" si="4"/>
        <v>17556.144736842107</v>
      </c>
      <c r="K13" s="988">
        <f t="shared" si="4"/>
        <v>19311.759210526314</v>
      </c>
      <c r="L13" s="988">
        <f t="shared" si="4"/>
        <v>19311.759210526314</v>
      </c>
      <c r="M13" s="988">
        <f t="shared" si="4"/>
        <v>19311.759210526314</v>
      </c>
      <c r="N13" s="988">
        <f t="shared" si="4"/>
        <v>19311.759210526314</v>
      </c>
      <c r="O13" s="989">
        <f t="shared" si="4"/>
        <v>19311.759210526314</v>
      </c>
      <c r="P13" s="798"/>
    </row>
    <row r="14" spans="1:16" s="799" customFormat="1" ht="13.5" customHeight="1" thickBot="1">
      <c r="A14" s="795"/>
      <c r="B14" s="796" t="s">
        <v>733</v>
      </c>
      <c r="C14" s="795"/>
      <c r="D14" s="798">
        <f>D13</f>
        <v>3448.9655172413795</v>
      </c>
      <c r="E14" s="798">
        <f>D14+E13</f>
        <v>6897.931034482759</v>
      </c>
      <c r="F14" s="798">
        <f>E14+F13</f>
        <v>10346.896551724138</v>
      </c>
      <c r="G14" s="798">
        <f>F14+G13</f>
        <v>13795.862068965518</v>
      </c>
      <c r="H14" s="990">
        <f>H13</f>
        <v>14509.21052631579</v>
      </c>
      <c r="I14" s="991">
        <f aca="true" t="shared" si="5" ref="I14:O14">I13</f>
        <v>15960.131578947368</v>
      </c>
      <c r="J14" s="991">
        <f t="shared" si="5"/>
        <v>17556.144736842107</v>
      </c>
      <c r="K14" s="991">
        <f t="shared" si="5"/>
        <v>19311.759210526314</v>
      </c>
      <c r="L14" s="991">
        <f t="shared" si="5"/>
        <v>19311.759210526314</v>
      </c>
      <c r="M14" s="991">
        <f t="shared" si="5"/>
        <v>19311.759210526314</v>
      </c>
      <c r="N14" s="991">
        <f t="shared" si="5"/>
        <v>19311.759210526314</v>
      </c>
      <c r="O14" s="992">
        <f t="shared" si="5"/>
        <v>19311.759210526314</v>
      </c>
      <c r="P14" s="798"/>
    </row>
    <row r="15" spans="1:16" s="800" customFormat="1" ht="12.75">
      <c r="A15" s="800" t="s">
        <v>153</v>
      </c>
      <c r="C15" s="801"/>
      <c r="D15" s="802">
        <f>C19</f>
        <v>1260.7944732297065</v>
      </c>
      <c r="E15" s="802">
        <f aca="true" t="shared" si="6" ref="E15:O15">D19</f>
        <v>0</v>
      </c>
      <c r="F15" s="802">
        <f t="shared" si="6"/>
        <v>0</v>
      </c>
      <c r="G15" s="802">
        <f t="shared" si="6"/>
        <v>0</v>
      </c>
      <c r="H15" s="802">
        <f t="shared" si="6"/>
        <v>0</v>
      </c>
      <c r="I15" s="802">
        <f t="shared" si="6"/>
        <v>0</v>
      </c>
      <c r="J15" s="802">
        <f t="shared" si="6"/>
        <v>0</v>
      </c>
      <c r="K15" s="802">
        <f t="shared" si="6"/>
        <v>0</v>
      </c>
      <c r="L15" s="802">
        <f t="shared" si="6"/>
        <v>0</v>
      </c>
      <c r="M15" s="802">
        <f t="shared" si="6"/>
        <v>0</v>
      </c>
      <c r="N15" s="802">
        <f t="shared" si="6"/>
        <v>0</v>
      </c>
      <c r="O15" s="802">
        <f t="shared" si="6"/>
        <v>0</v>
      </c>
      <c r="P15" s="794">
        <f>D15</f>
        <v>1260.7944732297065</v>
      </c>
    </row>
    <row r="16" spans="2:16" s="803" customFormat="1" ht="12.75">
      <c r="B16" s="146" t="s">
        <v>629</v>
      </c>
      <c r="C16" s="805"/>
      <c r="D16" s="806">
        <f aca="true" t="shared" si="7" ref="D16:O16">D25+D33+D40+D47</f>
        <v>26005.2</v>
      </c>
      <c r="E16" s="806">
        <f t="shared" si="7"/>
        <v>26005.2</v>
      </c>
      <c r="F16" s="806">
        <f t="shared" si="7"/>
        <v>11041.9</v>
      </c>
      <c r="G16" s="806">
        <f t="shared" si="7"/>
        <v>11041.9</v>
      </c>
      <c r="H16" s="806">
        <f t="shared" si="7"/>
        <v>53918.24999999999</v>
      </c>
      <c r="I16" s="806">
        <f t="shared" si="7"/>
        <v>59156.075</v>
      </c>
      <c r="J16" s="806">
        <f t="shared" si="7"/>
        <v>64917.6825</v>
      </c>
      <c r="K16" s="806">
        <f t="shared" si="7"/>
        <v>71255.45075</v>
      </c>
      <c r="L16" s="806">
        <f t="shared" si="7"/>
        <v>71255.45075</v>
      </c>
      <c r="M16" s="806">
        <f t="shared" si="7"/>
        <v>71255.45075</v>
      </c>
      <c r="N16" s="806">
        <f t="shared" si="7"/>
        <v>71255.45075</v>
      </c>
      <c r="O16" s="806">
        <f t="shared" si="7"/>
        <v>71255.45075</v>
      </c>
      <c r="P16" s="806">
        <f>SUM(D16:O16)</f>
        <v>608363.4612499999</v>
      </c>
    </row>
    <row r="17" spans="1:16" s="800" customFormat="1" ht="13.5">
      <c r="A17" s="807"/>
      <c r="C17" s="808"/>
      <c r="D17" s="806"/>
      <c r="E17" s="809"/>
      <c r="F17" s="809"/>
      <c r="G17" s="809"/>
      <c r="H17" s="809"/>
      <c r="I17" s="809"/>
      <c r="J17" s="809"/>
      <c r="K17" s="809"/>
      <c r="L17" s="809"/>
      <c r="M17" s="809"/>
      <c r="N17" s="809"/>
      <c r="O17" s="809"/>
      <c r="P17" s="806">
        <f>SUM(D17:O17)</f>
        <v>0</v>
      </c>
    </row>
    <row r="18" spans="1:16" s="803" customFormat="1" ht="13.5">
      <c r="A18" s="811"/>
      <c r="B18" s="804" t="s">
        <v>627</v>
      </c>
      <c r="C18" s="805"/>
      <c r="D18" s="806">
        <f aca="true" t="shared" si="8" ref="D18:O18">D27+D35+D42+D49</f>
        <v>27265.994473229708</v>
      </c>
      <c r="E18" s="806">
        <f t="shared" si="8"/>
        <v>26005.2</v>
      </c>
      <c r="F18" s="806">
        <f t="shared" si="8"/>
        <v>11041.9</v>
      </c>
      <c r="G18" s="806">
        <f t="shared" si="8"/>
        <v>11041.9</v>
      </c>
      <c r="H18" s="806">
        <f t="shared" si="8"/>
        <v>53918.24999999999</v>
      </c>
      <c r="I18" s="806">
        <f t="shared" si="8"/>
        <v>59156.075</v>
      </c>
      <c r="J18" s="806">
        <f t="shared" si="8"/>
        <v>64917.6825</v>
      </c>
      <c r="K18" s="806">
        <f t="shared" si="8"/>
        <v>71255.45075</v>
      </c>
      <c r="L18" s="806">
        <f t="shared" si="8"/>
        <v>71255.45075</v>
      </c>
      <c r="M18" s="806">
        <f t="shared" si="8"/>
        <v>71255.45075</v>
      </c>
      <c r="N18" s="806">
        <f t="shared" si="8"/>
        <v>71255.45075</v>
      </c>
      <c r="O18" s="806">
        <f t="shared" si="8"/>
        <v>71255.45075</v>
      </c>
      <c r="P18" s="806">
        <f>SUM(D18:O18)</f>
        <v>609624.2557232297</v>
      </c>
    </row>
    <row r="19" spans="1:16" s="812" customFormat="1" ht="12.75">
      <c r="A19" s="812" t="s">
        <v>154</v>
      </c>
      <c r="C19" s="813">
        <f>C28+C36+C43+C50</f>
        <v>1260.7944732297065</v>
      </c>
      <c r="D19" s="814">
        <f aca="true" t="shared" si="9" ref="D19:O19">D15+D16-D18</f>
        <v>0</v>
      </c>
      <c r="E19" s="814">
        <f t="shared" si="9"/>
        <v>0</v>
      </c>
      <c r="F19" s="814">
        <f t="shared" si="9"/>
        <v>0</v>
      </c>
      <c r="G19" s="814">
        <f t="shared" si="9"/>
        <v>0</v>
      </c>
      <c r="H19" s="814">
        <f t="shared" si="9"/>
        <v>0</v>
      </c>
      <c r="I19" s="814">
        <f t="shared" si="9"/>
        <v>0</v>
      </c>
      <c r="J19" s="814">
        <f t="shared" si="9"/>
        <v>0</v>
      </c>
      <c r="K19" s="814">
        <f t="shared" si="9"/>
        <v>0</v>
      </c>
      <c r="L19" s="814">
        <f t="shared" si="9"/>
        <v>0</v>
      </c>
      <c r="M19" s="814">
        <f t="shared" si="9"/>
        <v>0</v>
      </c>
      <c r="N19" s="814">
        <f t="shared" si="9"/>
        <v>0</v>
      </c>
      <c r="O19" s="814">
        <f t="shared" si="9"/>
        <v>0</v>
      </c>
      <c r="P19" s="815">
        <f>O19</f>
        <v>0</v>
      </c>
    </row>
    <row r="20" spans="3:16" s="816" customFormat="1" ht="12.75">
      <c r="C20" s="817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9"/>
    </row>
    <row r="21" spans="1:16" s="816" customFormat="1" ht="12.75" outlineLevel="1">
      <c r="A21" s="125" t="s">
        <v>628</v>
      </c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9"/>
    </row>
    <row r="22" spans="4:16" s="816" customFormat="1" ht="12.75" outlineLevel="1">
      <c r="D22" s="820"/>
      <c r="E22" s="818"/>
      <c r="F22" s="818"/>
      <c r="G22" s="818"/>
      <c r="H22" s="818"/>
      <c r="I22" s="818"/>
      <c r="J22" s="818"/>
      <c r="K22" s="818"/>
      <c r="L22" s="818"/>
      <c r="M22" s="818"/>
      <c r="N22" s="818"/>
      <c r="O22" s="818"/>
      <c r="P22" s="819"/>
    </row>
    <row r="23" spans="1:16" s="146" customFormat="1" ht="12.75" outlineLevel="1">
      <c r="A23" s="167" t="s">
        <v>313</v>
      </c>
      <c r="B23" s="146" t="str">
        <f>VLOOKUP(A23,Справочники!$B:$F,3,FALSE)</f>
        <v>Пенсионный фонд</v>
      </c>
      <c r="C23" s="791"/>
      <c r="D23" s="816"/>
      <c r="E23" s="792"/>
      <c r="F23" s="792"/>
      <c r="G23" s="792"/>
      <c r="H23" s="793"/>
      <c r="I23" s="793"/>
      <c r="J23" s="793"/>
      <c r="K23" s="793"/>
      <c r="L23" s="793"/>
      <c r="M23" s="793"/>
      <c r="N23" s="793"/>
      <c r="O23" s="793"/>
      <c r="P23" s="794"/>
    </row>
    <row r="24" spans="1:16" s="800" customFormat="1" ht="12.75" outlineLevel="1">
      <c r="A24" s="800" t="s">
        <v>153</v>
      </c>
      <c r="C24" s="801"/>
      <c r="D24" s="802">
        <f>C28</f>
        <v>1105.3540587219345</v>
      </c>
      <c r="E24" s="802">
        <f aca="true" t="shared" si="10" ref="E24:O24">D28</f>
        <v>0</v>
      </c>
      <c r="F24" s="802">
        <f t="shared" si="10"/>
        <v>0</v>
      </c>
      <c r="G24" s="802">
        <f t="shared" si="10"/>
        <v>0</v>
      </c>
      <c r="H24" s="802">
        <f t="shared" si="10"/>
        <v>0</v>
      </c>
      <c r="I24" s="802">
        <f t="shared" si="10"/>
        <v>0</v>
      </c>
      <c r="J24" s="802">
        <f t="shared" si="10"/>
        <v>0</v>
      </c>
      <c r="K24" s="802">
        <f t="shared" si="10"/>
        <v>0</v>
      </c>
      <c r="L24" s="802">
        <f t="shared" si="10"/>
        <v>0</v>
      </c>
      <c r="M24" s="802">
        <f t="shared" si="10"/>
        <v>0</v>
      </c>
      <c r="N24" s="802">
        <f t="shared" si="10"/>
        <v>0</v>
      </c>
      <c r="O24" s="802">
        <f t="shared" si="10"/>
        <v>0</v>
      </c>
      <c r="P24" s="794">
        <f>D24</f>
        <v>1105.3540587219345</v>
      </c>
    </row>
    <row r="25" spans="2:16" s="146" customFormat="1" ht="12.75" outlineLevel="1">
      <c r="B25" s="146" t="s">
        <v>629</v>
      </c>
      <c r="C25" s="808"/>
      <c r="D25" s="806">
        <f>(IF(D14*Параметры!D$14&lt;280000,D11*Параметры!D$14*Параметры!$C$41,IF(AND(D14*Параметры!D$14&gt;280000,D14*Параметры!D$14&lt;600000),(56000+(D11*Параметры!D$14-280000)*Параметры!$C$42),IF(D14*Параметры!D$14&gt;=600000,(81820+(D11*Параметры!D$14-600000)*Параметры!$C$43),0))))/Параметры!D$14</f>
        <v>20004</v>
      </c>
      <c r="E25" s="806">
        <f>(IF(E14*Параметры!E$14&lt;280000,E11*Параметры!E$14*Параметры!$C$41,IF(AND(E14*Параметры!E$14&gt;280000,E14*Параметры!E$14&lt;600000),(56000+(E11*Параметры!E$14-280000)*Параметры!$C$42),IF(E14*Параметры!E$14&gt;=600000,(81820+(E11*Параметры!E$14-600000)*Параметры!$C$43),0))))/Параметры!E$14</f>
        <v>20004</v>
      </c>
      <c r="F25" s="806">
        <f>(IF(F14*Параметры!F$14&lt;280000,F11*Параметры!F$14*Параметры!$C$41,IF(AND(F14*Параметры!F$14&gt;280000,F14*Параметры!F$14&lt;600000),(56000+(F11*Параметры!F$14-280000)*Параметры!$C$42),IF(F14*Параметры!F$14&gt;=600000,(81820+(F11*Параметры!F$14-600000)*Параметры!$C$43),0))))/Параметры!F$14</f>
        <v>9030.913333333334</v>
      </c>
      <c r="G25" s="806">
        <f>(IF(G14*Параметры!G$14&lt;280000,G11*Параметры!G$14*Параметры!$C$41,IF(AND(G14*Параметры!G$14&gt;280000,G14*Параметры!G$14&lt;600000),(56000+(G11*Параметры!G$14-280000)*Параметры!$C$42),IF(G14*Параметры!G$14&gt;=600000,(81820+(G11*Параметры!G$14-600000)*Параметры!$C$43),0))))/Параметры!G$14</f>
        <v>9030.913333333334</v>
      </c>
      <c r="H25" s="806">
        <f>(IF(H14*Параметры!H$14&lt;280000,H11*Параметры!H$14*Параметры!$C$41,IF(AND(H14*Параметры!H$14&gt;280000,H14*Параметры!H$14&lt;600000),(56000+(H11*Параметры!H$14-280000)*Параметры!$C$42),IF(H14*Параметры!H$14&gt;=600000,(81820+(H11*Параметры!H$14-600000)*Параметры!$C$43),0))))/Параметры!H$14</f>
        <v>44685.98333333333</v>
      </c>
      <c r="I25" s="806">
        <f>(IF(I14*Параметры!I$14&lt;280000,I11*Параметры!I$14*Параметры!$C$41,IF(AND(I14*Параметры!I$14&gt;280000,I14*Параметры!I$14&lt;600000),(56000+(I11*Параметры!I$14-280000)*Параметры!$C$42),IF(I14*Параметры!I$14&gt;=600000,(81820+(I11*Параметры!I$14-600000)*Параметры!$C$43),0))))/Параметры!I$14</f>
        <v>49041.64833333333</v>
      </c>
      <c r="J25" s="806">
        <f>(IF(J14*Параметры!J$14&lt;280000,J11*Параметры!J$14*Параметры!$C$41,IF(AND(J14*Параметры!J$14&gt;280000,J14*Параметры!J$14&lt;600000),(56000+(J11*Параметры!J$14-280000)*Параметры!$C$42),IF(J14*Параметры!J$14&gt;=600000,(81820+(J11*Параметры!J$14-600000)*Параметры!$C$43),0))))/Параметры!J$14</f>
        <v>53832.87983333333</v>
      </c>
      <c r="K25" s="806">
        <f>(IF(K14*Параметры!K$14&lt;280000,K11*Параметры!K$14*Параметры!$C$41,IF(AND(K14*Параметры!K$14&gt;280000,K14*Параметры!K$14&lt;600000),(56000+(K11*Параметры!K$14-280000)*Параметры!$C$42),IF(K14*Параметры!K$14&gt;=600000,(81820+(K11*Параметры!K$14-600000)*Параметры!$C$43),0))))/Параметры!K$14</f>
        <v>59103.23448333333</v>
      </c>
      <c r="L25" s="806">
        <f>(IF(L14*Параметры!L$14&lt;280000,L11*Параметры!L$14*Параметры!$C$41,IF(AND(L14*Параметры!L$14&gt;280000,L14*Параметры!L$14&lt;600000),(56000+(L11*Параметры!L$14-280000)*Параметры!$C$42),IF(L14*Параметры!L$14&gt;=600000,(81820+(L11*Параметры!L$14-600000)*Параметры!$C$43),0))))/Параметры!L$14</f>
        <v>59103.23448333333</v>
      </c>
      <c r="M25" s="806">
        <f>(IF(M14*Параметры!M$14&lt;280000,M11*Параметры!M$14*Параметры!$C$41,IF(AND(M14*Параметры!M$14&gt;280000,M14*Параметры!M$14&lt;600000),(56000+(M11*Параметры!M$14-280000)*Параметры!$C$42),IF(M14*Параметры!M$14&gt;=600000,(81820+(M11*Параметры!M$14-600000)*Параметры!$C$43),0))))/Параметры!M$14</f>
        <v>59103.23448333333</v>
      </c>
      <c r="N25" s="806">
        <f>(IF(N14*Параметры!N$14&lt;280000,N11*Параметры!N$14*Параметры!$C$41,IF(AND(N14*Параметры!N$14&gt;280000,N14*Параметры!N$14&lt;600000),(56000+(N11*Параметры!N$14-280000)*Параметры!$C$42),IF(N14*Параметры!N$14&gt;=600000,(81820+(N11*Параметры!N$14-600000)*Параметры!$C$43),0))))/Параметры!N$14</f>
        <v>59103.23448333333</v>
      </c>
      <c r="O25" s="806">
        <f>(IF(O14*Параметры!O$14&lt;280000,O11*Параметры!O$14*Параметры!$C$41,IF(AND(O14*Параметры!O$14&gt;280000,O14*Параметры!O$14&lt;600000),(56000+(O11*Параметры!O$14-280000)*Параметры!$C$42),IF(O14*Параметры!O$14&gt;=600000,(81820+(O11*Параметры!O$14-600000)*Параметры!$C$43),0))))/Параметры!O$14</f>
        <v>59103.23448333333</v>
      </c>
      <c r="P25" s="821">
        <f>SUM(D25:O25)</f>
        <v>501146.5105833332</v>
      </c>
    </row>
    <row r="26" spans="1:16" s="800" customFormat="1" ht="13.5" outlineLevel="1">
      <c r="A26" s="807"/>
      <c r="B26" s="822"/>
      <c r="C26" s="808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06">
        <f>SUM(D26:O26)</f>
        <v>0</v>
      </c>
    </row>
    <row r="27" spans="1:16" s="803" customFormat="1" ht="13.5" outlineLevel="1">
      <c r="A27" s="811"/>
      <c r="B27" s="804" t="s">
        <v>627</v>
      </c>
      <c r="C27" s="805"/>
      <c r="D27" s="821">
        <f>IF(D24+D25&gt;0,D24+D25,0)</f>
        <v>21109.354058721936</v>
      </c>
      <c r="E27" s="821">
        <f aca="true" t="shared" si="11" ref="E27:O27">IF(E24+E25&gt;0,E24+E25,0)</f>
        <v>20004</v>
      </c>
      <c r="F27" s="821">
        <f t="shared" si="11"/>
        <v>9030.913333333334</v>
      </c>
      <c r="G27" s="821">
        <f t="shared" si="11"/>
        <v>9030.913333333334</v>
      </c>
      <c r="H27" s="821">
        <f t="shared" si="11"/>
        <v>44685.98333333333</v>
      </c>
      <c r="I27" s="821">
        <f t="shared" si="11"/>
        <v>49041.64833333333</v>
      </c>
      <c r="J27" s="821">
        <f t="shared" si="11"/>
        <v>53832.87983333333</v>
      </c>
      <c r="K27" s="821">
        <f t="shared" si="11"/>
        <v>59103.23448333333</v>
      </c>
      <c r="L27" s="821">
        <f t="shared" si="11"/>
        <v>59103.23448333333</v>
      </c>
      <c r="M27" s="821">
        <f t="shared" si="11"/>
        <v>59103.23448333333</v>
      </c>
      <c r="N27" s="821">
        <f t="shared" si="11"/>
        <v>59103.23448333333</v>
      </c>
      <c r="O27" s="821">
        <f t="shared" si="11"/>
        <v>59103.23448333333</v>
      </c>
      <c r="P27" s="806">
        <f>SUM(D27:O27)</f>
        <v>502251.8646420551</v>
      </c>
    </row>
    <row r="28" spans="1:16" s="812" customFormat="1" ht="12.75" outlineLevel="1">
      <c r="A28" s="812" t="s">
        <v>154</v>
      </c>
      <c r="C28" s="823">
        <f>32000/Параметры!C14</f>
        <v>1105.3540587219345</v>
      </c>
      <c r="D28" s="814">
        <f aca="true" t="shared" si="12" ref="D28:O28">D24+D25-D27</f>
        <v>0</v>
      </c>
      <c r="E28" s="814">
        <f t="shared" si="12"/>
        <v>0</v>
      </c>
      <c r="F28" s="814">
        <f t="shared" si="12"/>
        <v>0</v>
      </c>
      <c r="G28" s="814">
        <f t="shared" si="12"/>
        <v>0</v>
      </c>
      <c r="H28" s="814">
        <f t="shared" si="12"/>
        <v>0</v>
      </c>
      <c r="I28" s="814">
        <f t="shared" si="12"/>
        <v>0</v>
      </c>
      <c r="J28" s="814">
        <f t="shared" si="12"/>
        <v>0</v>
      </c>
      <c r="K28" s="814">
        <f t="shared" si="12"/>
        <v>0</v>
      </c>
      <c r="L28" s="814">
        <f t="shared" si="12"/>
        <v>0</v>
      </c>
      <c r="M28" s="814">
        <f t="shared" si="12"/>
        <v>0</v>
      </c>
      <c r="N28" s="814">
        <f t="shared" si="12"/>
        <v>0</v>
      </c>
      <c r="O28" s="814">
        <f t="shared" si="12"/>
        <v>0</v>
      </c>
      <c r="P28" s="815">
        <f>O28</f>
        <v>0</v>
      </c>
    </row>
    <row r="29" spans="4:16" s="816" customFormat="1" ht="12.75" outlineLevel="1">
      <c r="D29" s="820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  <c r="P29" s="824"/>
    </row>
    <row r="30" spans="1:16" s="146" customFormat="1" ht="12.75" outlineLevel="1">
      <c r="A30" s="825"/>
      <c r="B30" s="810"/>
      <c r="C30" s="826"/>
      <c r="D30" s="816"/>
      <c r="E30" s="792"/>
      <c r="F30" s="792"/>
      <c r="G30" s="792"/>
      <c r="H30" s="792"/>
      <c r="I30" s="792"/>
      <c r="J30" s="792"/>
      <c r="K30" s="792"/>
      <c r="L30" s="792"/>
      <c r="M30" s="792"/>
      <c r="N30" s="792"/>
      <c r="O30" s="792"/>
      <c r="P30" s="819"/>
    </row>
    <row r="31" spans="1:16" s="146" customFormat="1" ht="13.5" customHeight="1" outlineLevel="1">
      <c r="A31" s="167" t="s">
        <v>314</v>
      </c>
      <c r="B31" s="146" t="str">
        <f>VLOOKUP(A31,Справочники!$B:$F,3,FALSE)</f>
        <v>Фонд социального страхования</v>
      </c>
      <c r="C31" s="791"/>
      <c r="E31" s="792"/>
      <c r="F31" s="792"/>
      <c r="G31" s="792"/>
      <c r="H31" s="793"/>
      <c r="I31" s="793"/>
      <c r="J31" s="793"/>
      <c r="K31" s="793"/>
      <c r="L31" s="793"/>
      <c r="M31" s="793"/>
      <c r="N31" s="793"/>
      <c r="O31" s="793"/>
      <c r="P31" s="794"/>
    </row>
    <row r="32" spans="1:16" s="800" customFormat="1" ht="12.75" outlineLevel="1">
      <c r="A32" s="800" t="s">
        <v>153</v>
      </c>
      <c r="C32" s="801"/>
      <c r="D32" s="802">
        <f>C36</f>
        <v>0</v>
      </c>
      <c r="E32" s="802">
        <f aca="true" t="shared" si="13" ref="E32:O32">D36</f>
        <v>0</v>
      </c>
      <c r="F32" s="802">
        <f t="shared" si="13"/>
        <v>0</v>
      </c>
      <c r="G32" s="802">
        <f t="shared" si="13"/>
        <v>0</v>
      </c>
      <c r="H32" s="802">
        <f t="shared" si="13"/>
        <v>0</v>
      </c>
      <c r="I32" s="802">
        <f t="shared" si="13"/>
        <v>0</v>
      </c>
      <c r="J32" s="802">
        <f t="shared" si="13"/>
        <v>0</v>
      </c>
      <c r="K32" s="802">
        <f t="shared" si="13"/>
        <v>0</v>
      </c>
      <c r="L32" s="802">
        <f t="shared" si="13"/>
        <v>0</v>
      </c>
      <c r="M32" s="802">
        <f t="shared" si="13"/>
        <v>0</v>
      </c>
      <c r="N32" s="802">
        <f t="shared" si="13"/>
        <v>0</v>
      </c>
      <c r="O32" s="802">
        <f t="shared" si="13"/>
        <v>0</v>
      </c>
      <c r="P32" s="794"/>
    </row>
    <row r="33" spans="2:16" s="146" customFormat="1" ht="12.75" outlineLevel="1">
      <c r="B33" s="146" t="s">
        <v>629</v>
      </c>
      <c r="C33" s="808"/>
      <c r="D33" s="806">
        <f>(IF(D14*Параметры!D$14&lt;280000,D11*Параметры!D$14*Параметры!$C$45,IF(AND(D14*Параметры!D$14&gt;280000,D14*Параметры!D$14&lt;600000),(8960+(D11*Параметры!D$14-280000)*Параметры!$C$46),IF(D14*Параметры!D$14&gt;=600000,12480,0))))/Параметры!D$14</f>
        <v>3200.64</v>
      </c>
      <c r="E33" s="806">
        <f>(IF(E14*Параметры!E$14&lt;280000,E11*Параметры!E$14*Параметры!$C$45,IF(AND(E14*Параметры!E$14&gt;280000,E14*Параметры!E$14&lt;600000),(8960+(E11*Параметры!E$14-280000)*Параметры!$C$46),IF(E14*Параметры!E$14&gt;=600000,12480,0))))/Параметры!E$14</f>
        <v>3200.64</v>
      </c>
      <c r="F33" s="806">
        <f>(IF(F14*Параметры!F$14&lt;280000,F11*Параметры!F$14*Параметры!$C$45,IF(AND(F14*Параметры!F$14&gt;280000,F14*Параметры!F$14&lt;600000),(8960+(F11*Параметры!F$14-280000)*Параметры!$C$46),IF(F14*Параметры!F$14&gt;=600000,12480,0))))/Параметры!F$14</f>
        <v>1296.22</v>
      </c>
      <c r="G33" s="806">
        <f>(IF(G14*Параметры!G$14&lt;280000,G11*Параметры!G$14*Параметры!$C$45,IF(AND(G14*Параметры!G$14&gt;280000,G14*Параметры!G$14&lt;600000),(8960+(G11*Параметры!G$14-280000)*Параметры!$C$46),IF(G14*Параметры!G$14&gt;=600000,12480,0))))/Параметры!G$14</f>
        <v>1296.22</v>
      </c>
      <c r="H33" s="806">
        <f>(IF(H14*Параметры!H$14&lt;280000,H11*Параметры!H$14*Параметры!$C$45,IF(AND(H14*Параметры!H$14&gt;280000,H14*Параметры!H$14&lt;600000),(8960+(H11*Параметры!H$14-280000)*Параметры!$C$46),IF(H14*Параметры!H$14&gt;=600000,12480,0))))/Параметры!H$14</f>
        <v>6260.85</v>
      </c>
      <c r="I33" s="806">
        <f>(IF(I14*Параметры!I$14&lt;280000,I11*Параметры!I$14*Параметры!$C$45,IF(AND(I14*Параметры!I$14&gt;280000,I14*Параметры!I$14&lt;600000),(8960+(I11*Параметры!I$14-280000)*Параметры!$C$46),IF(I14*Параметры!I$14&gt;=600000,12480,0))))/Параметры!I$14</f>
        <v>6867.335</v>
      </c>
      <c r="J33" s="806">
        <f>(IF(J14*Параметры!J$14&lt;280000,J11*Параметры!J$14*Параметры!$C$45,IF(AND(J14*Параметры!J$14&gt;280000,J14*Параметры!J$14&lt;600000),(8960+(J11*Параметры!J$14-280000)*Параметры!$C$46),IF(J14*Параметры!J$14&gt;=600000,12480,0))))/Параметры!J$14</f>
        <v>7534.4685</v>
      </c>
      <c r="K33" s="806">
        <f>(IF(K14*Параметры!K$14&lt;280000,K11*Параметры!K$14*Параметры!$C$45,IF(AND(K14*Параметры!K$14&gt;280000,K14*Параметры!K$14&lt;600000),(8960+(K11*Параметры!K$14-280000)*Параметры!$C$46),IF(K14*Параметры!K$14&gt;=600000,12480,0))))/Параметры!K$14</f>
        <v>8268.315349999999</v>
      </c>
      <c r="L33" s="806">
        <f>(IF(L14*Параметры!L$14&lt;280000,L11*Параметры!L$14*Параметры!$C$45,IF(AND(L14*Параметры!L$14&gt;280000,L14*Параметры!L$14&lt;600000),(8960+(L11*Параметры!L$14-280000)*Параметры!$C$46),IF(L14*Параметры!L$14&gt;=600000,12480,0))))/Параметры!L$14</f>
        <v>8268.315349999999</v>
      </c>
      <c r="M33" s="806">
        <f>(IF(M14*Параметры!M$14&lt;280000,M11*Параметры!M$14*Параметры!$C$45,IF(AND(M14*Параметры!M$14&gt;280000,M14*Параметры!M$14&lt;600000),(8960+(M11*Параметры!M$14-280000)*Параметры!$C$46),IF(M14*Параметры!M$14&gt;=600000,12480,0))))/Параметры!M$14</f>
        <v>8268.315349999999</v>
      </c>
      <c r="N33" s="806">
        <f>(IF(N14*Параметры!N$14&lt;280000,N11*Параметры!N$14*Параметры!$C$45,IF(AND(N14*Параметры!N$14&gt;280000,N14*Параметры!N$14&lt;600000),(8960+(N11*Параметры!N$14-280000)*Параметры!$C$46),IF(N14*Параметры!N$14&gt;=600000,12480,0))))/Параметры!N$14</f>
        <v>8268.315349999999</v>
      </c>
      <c r="O33" s="806">
        <f>(IF(O14*Параметры!O$14&lt;280000,O11*Параметры!O$14*Параметры!$C$45,IF(AND(O14*Параметры!O$14&gt;280000,O14*Параметры!O$14&lt;600000),(8960+(O11*Параметры!O$14-280000)*Параметры!$C$46),IF(O14*Параметры!O$14&gt;=600000,12480,0))))/Параметры!O$14</f>
        <v>8268.315349999999</v>
      </c>
      <c r="P33" s="821">
        <f>SUM(D33:O33)</f>
        <v>70997.95025</v>
      </c>
    </row>
    <row r="34" spans="1:16" s="800" customFormat="1" ht="13.5" outlineLevel="1">
      <c r="A34" s="807"/>
      <c r="C34" s="808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6">
        <f>SUM(D34:O34)</f>
        <v>0</v>
      </c>
    </row>
    <row r="35" spans="1:16" s="803" customFormat="1" ht="13.5" outlineLevel="1">
      <c r="A35" s="811"/>
      <c r="B35" s="804" t="s">
        <v>627</v>
      </c>
      <c r="C35" s="805"/>
      <c r="D35" s="821">
        <f>IF(D32+D33&gt;0,D32+D33,0)</f>
        <v>3200.64</v>
      </c>
      <c r="E35" s="821">
        <f aca="true" t="shared" si="14" ref="E35:O35">IF(E32+E33&gt;0,E32+E33,0)</f>
        <v>3200.64</v>
      </c>
      <c r="F35" s="821">
        <f t="shared" si="14"/>
        <v>1296.22</v>
      </c>
      <c r="G35" s="821">
        <f t="shared" si="14"/>
        <v>1296.22</v>
      </c>
      <c r="H35" s="821">
        <f t="shared" si="14"/>
        <v>6260.85</v>
      </c>
      <c r="I35" s="821">
        <f t="shared" si="14"/>
        <v>6867.335</v>
      </c>
      <c r="J35" s="821">
        <f t="shared" si="14"/>
        <v>7534.4685</v>
      </c>
      <c r="K35" s="821">
        <f t="shared" si="14"/>
        <v>8268.315349999999</v>
      </c>
      <c r="L35" s="821">
        <f t="shared" si="14"/>
        <v>8268.315349999999</v>
      </c>
      <c r="M35" s="821">
        <f t="shared" si="14"/>
        <v>8268.315349999999</v>
      </c>
      <c r="N35" s="821">
        <f t="shared" si="14"/>
        <v>8268.315349999999</v>
      </c>
      <c r="O35" s="821">
        <f t="shared" si="14"/>
        <v>8268.315349999999</v>
      </c>
      <c r="P35" s="806">
        <f>SUM(D35:O35)</f>
        <v>70997.95025</v>
      </c>
    </row>
    <row r="36" spans="1:16" s="812" customFormat="1" ht="12.75" outlineLevel="1">
      <c r="A36" s="812" t="s">
        <v>154</v>
      </c>
      <c r="C36" s="823">
        <v>0</v>
      </c>
      <c r="D36" s="814">
        <f aca="true" t="shared" si="15" ref="D36:O36">D32+D33-D35</f>
        <v>0</v>
      </c>
      <c r="E36" s="814">
        <f t="shared" si="15"/>
        <v>0</v>
      </c>
      <c r="F36" s="814">
        <f t="shared" si="15"/>
        <v>0</v>
      </c>
      <c r="G36" s="814">
        <f t="shared" si="15"/>
        <v>0</v>
      </c>
      <c r="H36" s="814">
        <f t="shared" si="15"/>
        <v>0</v>
      </c>
      <c r="I36" s="814">
        <f t="shared" si="15"/>
        <v>0</v>
      </c>
      <c r="J36" s="814">
        <f t="shared" si="15"/>
        <v>0</v>
      </c>
      <c r="K36" s="814">
        <f t="shared" si="15"/>
        <v>0</v>
      </c>
      <c r="L36" s="814">
        <f t="shared" si="15"/>
        <v>0</v>
      </c>
      <c r="M36" s="814">
        <f t="shared" si="15"/>
        <v>0</v>
      </c>
      <c r="N36" s="814">
        <f t="shared" si="15"/>
        <v>0</v>
      </c>
      <c r="O36" s="814">
        <f t="shared" si="15"/>
        <v>0</v>
      </c>
      <c r="P36" s="815">
        <f>O36</f>
        <v>0</v>
      </c>
    </row>
    <row r="37" spans="4:16" s="816" customFormat="1" ht="12.75" outlineLevel="1"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8"/>
      <c r="P37" s="819"/>
    </row>
    <row r="38" spans="1:16" s="146" customFormat="1" ht="12.75" outlineLevel="1">
      <c r="A38" s="167" t="s">
        <v>315</v>
      </c>
      <c r="B38" s="146" t="str">
        <f>VLOOKUP(A38,Справочники!$B:$F,3,FALSE)</f>
        <v>Фед. фонд обязат. мед. страхования</v>
      </c>
      <c r="C38" s="791"/>
      <c r="D38" s="816"/>
      <c r="E38" s="792"/>
      <c r="F38" s="792"/>
      <c r="G38" s="792"/>
      <c r="H38" s="793"/>
      <c r="I38" s="793"/>
      <c r="J38" s="793"/>
      <c r="K38" s="793"/>
      <c r="L38" s="793"/>
      <c r="M38" s="793"/>
      <c r="N38" s="793"/>
      <c r="O38" s="793"/>
      <c r="P38" s="794"/>
    </row>
    <row r="39" spans="1:16" s="800" customFormat="1" ht="12.75" outlineLevel="1">
      <c r="A39" s="800" t="s">
        <v>153</v>
      </c>
      <c r="C39" s="801"/>
      <c r="D39" s="802">
        <f>C43</f>
        <v>44.90500863557858</v>
      </c>
      <c r="E39" s="818">
        <f aca="true" t="shared" si="16" ref="E39:O39">D43</f>
        <v>0</v>
      </c>
      <c r="F39" s="818">
        <f t="shared" si="16"/>
        <v>0</v>
      </c>
      <c r="G39" s="818">
        <f t="shared" si="16"/>
        <v>0</v>
      </c>
      <c r="H39" s="818">
        <f t="shared" si="16"/>
        <v>0</v>
      </c>
      <c r="I39" s="818">
        <f t="shared" si="16"/>
        <v>0</v>
      </c>
      <c r="J39" s="818">
        <f t="shared" si="16"/>
        <v>0</v>
      </c>
      <c r="K39" s="818">
        <f t="shared" si="16"/>
        <v>0</v>
      </c>
      <c r="L39" s="818">
        <f t="shared" si="16"/>
        <v>0</v>
      </c>
      <c r="M39" s="818">
        <f t="shared" si="16"/>
        <v>0</v>
      </c>
      <c r="N39" s="818">
        <f t="shared" si="16"/>
        <v>0</v>
      </c>
      <c r="O39" s="818">
        <f t="shared" si="16"/>
        <v>0</v>
      </c>
      <c r="P39" s="794"/>
    </row>
    <row r="40" spans="2:16" s="146" customFormat="1" ht="12.75" outlineLevel="1">
      <c r="B40" s="146" t="s">
        <v>629</v>
      </c>
      <c r="C40" s="808"/>
      <c r="D40" s="806">
        <f>(IF(D14*Параметры!D$14&lt;280000,D11*Параметры!D$14*Параметры!$C$49,IF(AND(D14*Параметры!D$14&gt;280000,D14*Параметры!D$14&lt;600000),(2240+(D11*Параметры!D$14-280000)*Параметры!C$50),IF(D14*Параметры!D$14&gt;=600000,3840,0))))/Параметры!D$14</f>
        <v>800.16</v>
      </c>
      <c r="E40" s="806">
        <f>(IF(E14*Параметры!E$14&lt;280000,E11*Параметры!E$14*Параметры!$C$49,IF(AND(E14*Параметры!E$14&gt;280000,E14*Параметры!E$14&lt;600000),(2240+(E11*Параметры!E$14-280000)*Параметры!D$50),IF(E14*Параметры!E$14&gt;=600000,3840,0))))/Параметры!E$14</f>
        <v>800.16</v>
      </c>
      <c r="F40" s="806">
        <f>(IF(F14*Параметры!F$14&lt;280000,F11*Параметры!F$14*Параметры!$C$49,IF(AND(F14*Параметры!F$14&gt;280000,F14*Параметры!F$14&lt;600000),(2240+(F11*Параметры!F$14-280000)*Параметры!E$50),IF(F14*Параметры!F$14&gt;=600000,3840,0))))/Параметры!F$14</f>
        <v>74.66666666666667</v>
      </c>
      <c r="G40" s="806">
        <f>(IF(G14*Параметры!G$14&lt;280000,G11*Параметры!G$14*Параметры!$C$49,IF(AND(G14*Параметры!G$14&gt;280000,G14*Параметры!G$14&lt;600000),(2240+(G11*Параметры!G$14-280000)*Параметры!F$50),IF(G14*Параметры!G$14&gt;=600000,3840,0))))/Параметры!G$14</f>
        <v>74.66666666666667</v>
      </c>
      <c r="H40" s="806">
        <f>(IF(H14*Параметры!H$14&lt;280000,H11*Параметры!H$14*Параметры!$C$49,IF(AND(H14*Параметры!H$14&gt;280000,H14*Параметры!H$14&lt;600000),(2240+(H11*Параметры!H$14-280000)*Параметры!G$50),IF(H14*Параметры!H$14&gt;=600000,3840,0))))/Параметры!H$14</f>
        <v>74.66666666666667</v>
      </c>
      <c r="I40" s="806">
        <f>(IF(I14*Параметры!I$14&lt;280000,I11*Параметры!I$14*Параметры!$C$49,IF(AND(I14*Параметры!I$14&gt;280000,I14*Параметры!I$14&lt;600000),(2240+(I11*Параметры!I$14-280000)*Параметры!H$50),IF(I14*Параметры!I$14&gt;=600000,3840,0))))/Параметры!I$14</f>
        <v>74.66666666666667</v>
      </c>
      <c r="J40" s="806">
        <f>(IF(J14*Параметры!J$14&lt;280000,J11*Параметры!J$14*Параметры!$C$49,IF(AND(J14*Параметры!J$14&gt;280000,J14*Параметры!J$14&lt;600000),(2240+(J11*Параметры!J$14-280000)*Параметры!I$50),IF(J14*Параметры!J$14&gt;=600000,3840,0))))/Параметры!J$14</f>
        <v>74.66666666666667</v>
      </c>
      <c r="K40" s="806">
        <f>(IF(K14*Параметры!K$14&lt;280000,K11*Параметры!K$14*Параметры!$C$49,IF(AND(K14*Параметры!K$14&gt;280000,K14*Параметры!K$14&lt;600000),(2240+(K11*Параметры!K$14-280000)*Параметры!J$50),IF(K14*Параметры!K$14&gt;=600000,3840,0))))/Параметры!K$14</f>
        <v>74.66666666666667</v>
      </c>
      <c r="L40" s="806">
        <f>(IF(L14*Параметры!L$14&lt;280000,L11*Параметры!L$14*Параметры!$C$49,IF(AND(L14*Параметры!L$14&gt;280000,L14*Параметры!L$14&lt;600000),(2240+(L11*Параметры!L$14-280000)*Параметры!K$50),IF(L14*Параметры!L$14&gt;=600000,3840,0))))/Параметры!L$14</f>
        <v>74.66666666666667</v>
      </c>
      <c r="M40" s="806">
        <f>(IF(M14*Параметры!M$14&lt;280000,M11*Параметры!M$14*Параметры!$C$49,IF(AND(M14*Параметры!M$14&gt;280000,M14*Параметры!M$14&lt;600000),(2240+(M11*Параметры!M$14-280000)*Параметры!L$50),IF(M14*Параметры!M$14&gt;=600000,3840,0))))/Параметры!M$14</f>
        <v>74.66666666666667</v>
      </c>
      <c r="N40" s="806">
        <f>(IF(N14*Параметры!N$14&lt;280000,N11*Параметры!N$14*Параметры!$C$49,IF(AND(N14*Параметры!N$14&gt;280000,N14*Параметры!N$14&lt;600000),(2240+(N11*Параметры!N$14-280000)*Параметры!M$50),IF(N14*Параметры!N$14&gt;=600000,3840,0))))/Параметры!N$14</f>
        <v>74.66666666666667</v>
      </c>
      <c r="O40" s="806">
        <f>(IF(O14*Параметры!O$14&lt;280000,O11*Параметры!O$14*Параметры!$C$49,IF(AND(O14*Параметры!O$14&gt;280000,O14*Параметры!O$14&lt;600000),(2240+(O11*Параметры!O$14-280000)*Параметры!N$50),IF(O14*Параметры!O$14&gt;=600000,3840,0))))/Параметры!O$14</f>
        <v>74.66666666666667</v>
      </c>
      <c r="P40" s="821">
        <f>SUM(D40:O40)</f>
        <v>2346.986666666666</v>
      </c>
    </row>
    <row r="41" spans="1:16" s="800" customFormat="1" ht="13.5" outlineLevel="1">
      <c r="A41" s="807"/>
      <c r="B41" s="822"/>
      <c r="C41" s="808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6">
        <f>SUM(D41:O41)</f>
        <v>0</v>
      </c>
    </row>
    <row r="42" spans="1:16" s="803" customFormat="1" ht="13.5" outlineLevel="1">
      <c r="A42" s="811"/>
      <c r="B42" s="804" t="s">
        <v>627</v>
      </c>
      <c r="C42" s="805"/>
      <c r="D42" s="821">
        <f aca="true" t="shared" si="17" ref="D42:O42">IF(D39+D40&gt;0,D39+D40,0)</f>
        <v>845.0650086355786</v>
      </c>
      <c r="E42" s="821">
        <f t="shared" si="17"/>
        <v>800.16</v>
      </c>
      <c r="F42" s="821">
        <f t="shared" si="17"/>
        <v>74.66666666666667</v>
      </c>
      <c r="G42" s="821">
        <f t="shared" si="17"/>
        <v>74.66666666666667</v>
      </c>
      <c r="H42" s="821">
        <f t="shared" si="17"/>
        <v>74.66666666666667</v>
      </c>
      <c r="I42" s="821">
        <f t="shared" si="17"/>
        <v>74.66666666666667</v>
      </c>
      <c r="J42" s="821">
        <f t="shared" si="17"/>
        <v>74.66666666666667</v>
      </c>
      <c r="K42" s="821">
        <f t="shared" si="17"/>
        <v>74.66666666666667</v>
      </c>
      <c r="L42" s="821">
        <f t="shared" si="17"/>
        <v>74.66666666666667</v>
      </c>
      <c r="M42" s="821">
        <f t="shared" si="17"/>
        <v>74.66666666666667</v>
      </c>
      <c r="N42" s="821">
        <f t="shared" si="17"/>
        <v>74.66666666666667</v>
      </c>
      <c r="O42" s="821">
        <f t="shared" si="17"/>
        <v>74.66666666666667</v>
      </c>
      <c r="P42" s="806">
        <f>SUM(D42:O42)</f>
        <v>2391.891675302245</v>
      </c>
    </row>
    <row r="43" spans="1:16" s="812" customFormat="1" ht="12.75" outlineLevel="1">
      <c r="A43" s="812" t="s">
        <v>154</v>
      </c>
      <c r="C43" s="823">
        <f>1300/Параметры!C14</f>
        <v>44.90500863557858</v>
      </c>
      <c r="D43" s="814">
        <f aca="true" t="shared" si="18" ref="D43:O43">D39+D40-D42</f>
        <v>0</v>
      </c>
      <c r="E43" s="814">
        <f t="shared" si="18"/>
        <v>0</v>
      </c>
      <c r="F43" s="814">
        <f t="shared" si="18"/>
        <v>0</v>
      </c>
      <c r="G43" s="814">
        <f t="shared" si="18"/>
        <v>0</v>
      </c>
      <c r="H43" s="814">
        <f t="shared" si="18"/>
        <v>0</v>
      </c>
      <c r="I43" s="814">
        <f t="shared" si="18"/>
        <v>0</v>
      </c>
      <c r="J43" s="814">
        <f t="shared" si="18"/>
        <v>0</v>
      </c>
      <c r="K43" s="814">
        <f t="shared" si="18"/>
        <v>0</v>
      </c>
      <c r="L43" s="814">
        <f t="shared" si="18"/>
        <v>0</v>
      </c>
      <c r="M43" s="814">
        <f t="shared" si="18"/>
        <v>0</v>
      </c>
      <c r="N43" s="814">
        <f t="shared" si="18"/>
        <v>0</v>
      </c>
      <c r="O43" s="814">
        <f t="shared" si="18"/>
        <v>0</v>
      </c>
      <c r="P43" s="815">
        <f>O43</f>
        <v>0</v>
      </c>
    </row>
    <row r="44" spans="4:16" s="816" customFormat="1" ht="12.75" outlineLevel="1">
      <c r="D44" s="818"/>
      <c r="E44" s="818"/>
      <c r="F44" s="818"/>
      <c r="G44" s="818"/>
      <c r="H44" s="818"/>
      <c r="I44" s="818"/>
      <c r="J44" s="818"/>
      <c r="K44" s="818"/>
      <c r="L44" s="818"/>
      <c r="M44" s="818"/>
      <c r="N44" s="818"/>
      <c r="O44" s="818"/>
      <c r="P44" s="819"/>
    </row>
    <row r="45" spans="1:16" s="146" customFormat="1" ht="12.75" outlineLevel="1">
      <c r="A45" s="167" t="s">
        <v>316</v>
      </c>
      <c r="B45" s="146" t="str">
        <f>VLOOKUP(A45,Справочники!$B:$F,3,FALSE)</f>
        <v>Терр. фонд обязат. мед. страхования</v>
      </c>
      <c r="C45" s="791"/>
      <c r="D45" s="816"/>
      <c r="E45" s="792"/>
      <c r="F45" s="792"/>
      <c r="G45" s="792"/>
      <c r="H45" s="793"/>
      <c r="I45" s="793"/>
      <c r="J45" s="793"/>
      <c r="K45" s="793"/>
      <c r="L45" s="793"/>
      <c r="M45" s="793"/>
      <c r="N45" s="793"/>
      <c r="O45" s="793"/>
      <c r="P45" s="794"/>
    </row>
    <row r="46" spans="1:16" s="800" customFormat="1" ht="12.75" outlineLevel="1">
      <c r="A46" s="800" t="s">
        <v>153</v>
      </c>
      <c r="C46" s="801"/>
      <c r="D46" s="802">
        <f>C50</f>
        <v>110.53540587219344</v>
      </c>
      <c r="E46" s="818">
        <f aca="true" t="shared" si="19" ref="E46:O46">D50</f>
        <v>0</v>
      </c>
      <c r="F46" s="818">
        <f t="shared" si="19"/>
        <v>0</v>
      </c>
      <c r="G46" s="818">
        <f t="shared" si="19"/>
        <v>0</v>
      </c>
      <c r="H46" s="818">
        <f t="shared" si="19"/>
        <v>0</v>
      </c>
      <c r="I46" s="818">
        <f t="shared" si="19"/>
        <v>0</v>
      </c>
      <c r="J46" s="818">
        <f t="shared" si="19"/>
        <v>0</v>
      </c>
      <c r="K46" s="818">
        <f t="shared" si="19"/>
        <v>0</v>
      </c>
      <c r="L46" s="818">
        <f t="shared" si="19"/>
        <v>0</v>
      </c>
      <c r="M46" s="818">
        <f t="shared" si="19"/>
        <v>0</v>
      </c>
      <c r="N46" s="818">
        <f t="shared" si="19"/>
        <v>0</v>
      </c>
      <c r="O46" s="818">
        <f t="shared" si="19"/>
        <v>0</v>
      </c>
      <c r="P46" s="794"/>
    </row>
    <row r="47" spans="2:16" s="146" customFormat="1" ht="12.75" outlineLevel="1">
      <c r="B47" s="146" t="s">
        <v>629</v>
      </c>
      <c r="C47" s="808"/>
      <c r="D47" s="821">
        <f>(IF(D14*Параметры!D$14&lt;280000,D11*Параметры!D$14*Параметры!$C$53,IF(AND(D14*Параметры!D$14&gt;280000,D14*Параметры!D$14&lt;600000),(5600+(D11*Параметры!D$14-280000)*Параметры!$C$54),IF(D14*Параметры!D$14&gt;=600000,7200,0))))/Параметры!D$14</f>
        <v>2000.4</v>
      </c>
      <c r="E47" s="821">
        <f>(IF(E14*Параметры!E$14&lt;280000,E11*Параметры!E$14*Параметры!$C$53,IF(AND(E14*Параметры!E$14&gt;280000,E14*Параметры!E$14&lt;600000),(5600+(E11*Параметры!E$14-280000)*Параметры!$C$54),IF(E14*Параметры!E$14&gt;=600000,7200,0))))/Параметры!E$14</f>
        <v>2000.4</v>
      </c>
      <c r="F47" s="821">
        <f>(IF(F14*Параметры!F$14&lt;280000,F11*Параметры!F$14*Параметры!$C$53,IF(AND(F14*Параметры!F$14&gt;280000,F14*Параметры!F$14&lt;600000),(5600+(F11*Параметры!F$14-280000)*Параметры!$C$54),IF(F14*Параметры!F$14&gt;=600000,7200,0))))/Параметры!F$14</f>
        <v>640.1</v>
      </c>
      <c r="G47" s="821">
        <f>(IF(G14*Параметры!G$14&lt;280000,G11*Параметры!G$14*Параметры!$C$53,IF(AND(G14*Параметры!G$14&gt;280000,G14*Параметры!G$14&lt;600000),(5600+(G11*Параметры!G$14-280000)*Параметры!$C$54),IF(G14*Параметры!G$14&gt;=600000,7200,0))))/Параметры!G$14</f>
        <v>640.1</v>
      </c>
      <c r="H47" s="821">
        <f>(IF(H14*Параметры!H$14&lt;280000,H11*Параметры!H$14*Параметры!$C$53,IF(AND(H14*Параметры!H$14&gt;280000,H14*Параметры!H$14&lt;600000),(5600+(H11*Параметры!H$14-280000)*Параметры!$C$54),IF(H14*Параметры!H$14&gt;=600000,7200,0))))/Параметры!H$14</f>
        <v>2896.75</v>
      </c>
      <c r="I47" s="821">
        <f>(IF(I14*Параметры!I$14&lt;280000,I11*Параметры!I$14*Параметры!$C$53,IF(AND(I14*Параметры!I$14&gt;280000,I14*Параметры!I$14&lt;600000),(5600+(I11*Параметры!I$14-280000)*Параметры!$C$54),IF(I14*Параметры!I$14&gt;=600000,7200,0))))/Параметры!I$14</f>
        <v>3172.425</v>
      </c>
      <c r="J47" s="821">
        <f>(IF(J14*Параметры!J$14&lt;280000,J11*Параметры!J$14*Параметры!$C$53,IF(AND(J14*Параметры!J$14&gt;280000,J14*Параметры!J$14&lt;600000),(5600+(J11*Параметры!J$14-280000)*Параметры!$C$54),IF(J14*Параметры!J$14&gt;=600000,7200,0))))/Параметры!J$14</f>
        <v>3475.6675000000005</v>
      </c>
      <c r="K47" s="821">
        <f>(IF(K14*Параметры!K$14&lt;280000,K11*Параметры!K$14*Параметры!$C$53,IF(AND(K14*Параметры!K$14&gt;280000,K14*Параметры!K$14&lt;600000),(5600+(K11*Параметры!K$14-280000)*Параметры!$C$54),IF(K14*Параметры!K$14&gt;=600000,7200,0))))/Параметры!K$14</f>
        <v>3809.23425</v>
      </c>
      <c r="L47" s="821">
        <f>(IF(L14*Параметры!L$14&lt;280000,L11*Параметры!L$14*Параметры!$C$53,IF(AND(L14*Параметры!L$14&gt;280000,L14*Параметры!L$14&lt;600000),(5600+(L11*Параметры!L$14-280000)*Параметры!$C$54),IF(L14*Параметры!L$14&gt;=600000,7200,0))))/Параметры!L$14</f>
        <v>3809.23425</v>
      </c>
      <c r="M47" s="821">
        <f>(IF(M14*Параметры!M$14&lt;280000,M11*Параметры!M$14*Параметры!$C$53,IF(AND(M14*Параметры!M$14&gt;280000,M14*Параметры!M$14&lt;600000),(5600+(M11*Параметры!M$14-280000)*Параметры!$C$54),IF(M14*Параметры!M$14&gt;=600000,7200,0))))/Параметры!M$14</f>
        <v>3809.23425</v>
      </c>
      <c r="N47" s="821">
        <f>(IF(N14*Параметры!N$14&lt;280000,N11*Параметры!N$14*Параметры!$C$53,IF(AND(N14*Параметры!N$14&gt;280000,N14*Параметры!N$14&lt;600000),(5600+(N11*Параметры!N$14-280000)*Параметры!$C$54),IF(N14*Параметры!N$14&gt;=600000,7200,0))))/Параметры!N$14</f>
        <v>3809.23425</v>
      </c>
      <c r="O47" s="821">
        <f>(IF(O14*Параметры!O$14&lt;280000,O11*Параметры!O$14*Параметры!$C$53,IF(AND(O14*Параметры!O$14&gt;280000,O14*Параметры!O$14&lt;600000),(5600+(O11*Параметры!O$14-280000)*Параметры!$C$54),IF(O14*Параметры!O$14&gt;=600000,7200,0))))/Параметры!O$14</f>
        <v>3809.23425</v>
      </c>
      <c r="P47" s="821">
        <f>SUM(D47:O47)</f>
        <v>33872.013750000006</v>
      </c>
    </row>
    <row r="48" spans="1:16" s="800" customFormat="1" ht="13.5" outlineLevel="1">
      <c r="A48" s="807"/>
      <c r="C48" s="808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6">
        <f>SUM(D48:O48)</f>
        <v>0</v>
      </c>
    </row>
    <row r="49" spans="1:16" s="803" customFormat="1" ht="13.5" outlineLevel="1">
      <c r="A49" s="811"/>
      <c r="B49" s="804" t="s">
        <v>627</v>
      </c>
      <c r="C49" s="805"/>
      <c r="D49" s="821">
        <f aca="true" t="shared" si="20" ref="D49:O49">IF(D46+D47&gt;0,D46+D47,0)</f>
        <v>2110.9354058721933</v>
      </c>
      <c r="E49" s="821">
        <f t="shared" si="20"/>
        <v>2000.4</v>
      </c>
      <c r="F49" s="821">
        <f t="shared" si="20"/>
        <v>640.1</v>
      </c>
      <c r="G49" s="821">
        <f t="shared" si="20"/>
        <v>640.1</v>
      </c>
      <c r="H49" s="821">
        <f t="shared" si="20"/>
        <v>2896.75</v>
      </c>
      <c r="I49" s="821">
        <f t="shared" si="20"/>
        <v>3172.425</v>
      </c>
      <c r="J49" s="821">
        <f t="shared" si="20"/>
        <v>3475.6675000000005</v>
      </c>
      <c r="K49" s="821">
        <f t="shared" si="20"/>
        <v>3809.23425</v>
      </c>
      <c r="L49" s="821">
        <f t="shared" si="20"/>
        <v>3809.23425</v>
      </c>
      <c r="M49" s="821">
        <f t="shared" si="20"/>
        <v>3809.23425</v>
      </c>
      <c r="N49" s="821">
        <f t="shared" si="20"/>
        <v>3809.23425</v>
      </c>
      <c r="O49" s="821">
        <f t="shared" si="20"/>
        <v>3809.23425</v>
      </c>
      <c r="P49" s="806">
        <f>SUM(D49:O49)</f>
        <v>33982.5491558722</v>
      </c>
    </row>
    <row r="50" spans="1:16" s="812" customFormat="1" ht="12.75" outlineLevel="1">
      <c r="A50" s="812" t="s">
        <v>154</v>
      </c>
      <c r="C50" s="823">
        <f>3200/Параметры!C14</f>
        <v>110.53540587219344</v>
      </c>
      <c r="D50" s="814">
        <f aca="true" t="shared" si="21" ref="D50:O50">D46+D47-D49</f>
        <v>0</v>
      </c>
      <c r="E50" s="814">
        <f t="shared" si="21"/>
        <v>0</v>
      </c>
      <c r="F50" s="814">
        <f t="shared" si="21"/>
        <v>0</v>
      </c>
      <c r="G50" s="814">
        <f t="shared" si="21"/>
        <v>0</v>
      </c>
      <c r="H50" s="814">
        <f t="shared" si="21"/>
        <v>0</v>
      </c>
      <c r="I50" s="814">
        <f t="shared" si="21"/>
        <v>0</v>
      </c>
      <c r="J50" s="814">
        <f t="shared" si="21"/>
        <v>0</v>
      </c>
      <c r="K50" s="814">
        <f t="shared" si="21"/>
        <v>0</v>
      </c>
      <c r="L50" s="814">
        <f t="shared" si="21"/>
        <v>0</v>
      </c>
      <c r="M50" s="814">
        <f t="shared" si="21"/>
        <v>0</v>
      </c>
      <c r="N50" s="814">
        <f t="shared" si="21"/>
        <v>0</v>
      </c>
      <c r="O50" s="814">
        <f t="shared" si="21"/>
        <v>0</v>
      </c>
      <c r="P50" s="815">
        <f>O50</f>
        <v>0</v>
      </c>
    </row>
    <row r="51" spans="3:16" s="816" customFormat="1" ht="12.75">
      <c r="C51" s="817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9"/>
    </row>
    <row r="52" spans="3:16" s="816" customFormat="1" ht="12.75">
      <c r="C52" s="817"/>
      <c r="D52" s="818"/>
      <c r="E52" s="818"/>
      <c r="F52" s="818"/>
      <c r="G52" s="818"/>
      <c r="H52" s="818"/>
      <c r="I52" s="818"/>
      <c r="J52" s="818"/>
      <c r="K52" s="818"/>
      <c r="L52" s="818"/>
      <c r="M52" s="818"/>
      <c r="N52" s="818"/>
      <c r="O52" s="818"/>
      <c r="P52" s="819"/>
    </row>
    <row r="53" spans="1:16" s="800" customFormat="1" ht="12.75">
      <c r="A53" s="167" t="s">
        <v>103</v>
      </c>
      <c r="B53" s="146" t="str">
        <f>VLOOKUP(A53,Справочники!$B:$F,3,FALSE)</f>
        <v>Налоги и сборы</v>
      </c>
      <c r="C53" s="827"/>
      <c r="D53" s="828"/>
      <c r="E53" s="818"/>
      <c r="F53" s="818"/>
      <c r="G53" s="818"/>
      <c r="H53" s="829"/>
      <c r="I53" s="829"/>
      <c r="J53" s="829"/>
      <c r="K53" s="829"/>
      <c r="L53" s="829"/>
      <c r="M53" s="829"/>
      <c r="N53" s="829"/>
      <c r="O53" s="829"/>
      <c r="P53" s="794"/>
    </row>
    <row r="54" spans="1:16" s="800" customFormat="1" ht="12.75">
      <c r="A54" s="800" t="s">
        <v>153</v>
      </c>
      <c r="C54" s="801"/>
      <c r="D54" s="830">
        <f aca="true" t="shared" si="22" ref="D54:P54">C58</f>
        <v>690.846286701209</v>
      </c>
      <c r="E54" s="830">
        <f t="shared" si="22"/>
        <v>0</v>
      </c>
      <c r="F54" s="830">
        <f t="shared" si="22"/>
        <v>0</v>
      </c>
      <c r="G54" s="830">
        <f t="shared" si="22"/>
        <v>0</v>
      </c>
      <c r="H54" s="830">
        <f t="shared" si="22"/>
        <v>0</v>
      </c>
      <c r="I54" s="830">
        <f t="shared" si="22"/>
        <v>0</v>
      </c>
      <c r="J54" s="830">
        <f t="shared" si="22"/>
        <v>0</v>
      </c>
      <c r="K54" s="830">
        <f t="shared" si="22"/>
        <v>0</v>
      </c>
      <c r="L54" s="830">
        <f t="shared" si="22"/>
        <v>0</v>
      </c>
      <c r="M54" s="830">
        <f t="shared" si="22"/>
        <v>0</v>
      </c>
      <c r="N54" s="830">
        <f t="shared" si="22"/>
        <v>0</v>
      </c>
      <c r="O54" s="830">
        <f t="shared" si="22"/>
        <v>0</v>
      </c>
      <c r="P54" s="830">
        <f t="shared" si="22"/>
        <v>0</v>
      </c>
    </row>
    <row r="55" spans="1:16" s="146" customFormat="1" ht="12.75">
      <c r="A55" s="831"/>
      <c r="B55" s="832" t="s">
        <v>629</v>
      </c>
      <c r="C55" s="808"/>
      <c r="D55" s="833">
        <f aca="true" t="shared" si="23" ref="D55:O55">SUM(D66,D78,D87,D127,D96)</f>
        <v>13425.95222746114</v>
      </c>
      <c r="E55" s="833">
        <f t="shared" si="23"/>
        <v>18448.28688292921</v>
      </c>
      <c r="F55" s="833">
        <f t="shared" si="23"/>
        <v>14821.809275611748</v>
      </c>
      <c r="G55" s="833">
        <f t="shared" si="23"/>
        <v>12137.70130981968</v>
      </c>
      <c r="H55" s="833">
        <f t="shared" si="23"/>
        <v>632491.1612247279</v>
      </c>
      <c r="I55" s="833">
        <f t="shared" si="23"/>
        <v>2129923.1503740842</v>
      </c>
      <c r="J55" s="833">
        <f t="shared" si="23"/>
        <v>3994830.908926832</v>
      </c>
      <c r="K55" s="833">
        <f t="shared" si="23"/>
        <v>-188940.18354957577</v>
      </c>
      <c r="L55" s="833">
        <f t="shared" si="23"/>
        <v>98014.74366757763</v>
      </c>
      <c r="M55" s="833">
        <f t="shared" si="23"/>
        <v>96121.96624066381</v>
      </c>
      <c r="N55" s="833">
        <f t="shared" si="23"/>
        <v>95465.79898323986</v>
      </c>
      <c r="O55" s="833">
        <f t="shared" si="23"/>
        <v>94809.63172581774</v>
      </c>
      <c r="P55" s="833">
        <f>SUM(D55:O55)</f>
        <v>7011550.927289189</v>
      </c>
    </row>
    <row r="56" spans="1:16" s="800" customFormat="1" ht="13.5">
      <c r="A56" s="807"/>
      <c r="B56" s="810" t="s">
        <v>626</v>
      </c>
      <c r="C56" s="808"/>
      <c r="D56" s="830">
        <f aca="true" t="shared" si="24" ref="D56:O56">SUM(D67,D79,D88,D128,D97)</f>
        <v>0</v>
      </c>
      <c r="E56" s="830">
        <f t="shared" si="24"/>
        <v>0</v>
      </c>
      <c r="F56" s="830">
        <f t="shared" si="24"/>
        <v>0</v>
      </c>
      <c r="G56" s="830">
        <f t="shared" si="24"/>
        <v>0</v>
      </c>
      <c r="H56" s="830">
        <f t="shared" si="24"/>
        <v>0</v>
      </c>
      <c r="I56" s="830">
        <f t="shared" si="24"/>
        <v>0</v>
      </c>
      <c r="J56" s="830">
        <f t="shared" si="24"/>
        <v>0</v>
      </c>
      <c r="K56" s="830">
        <f t="shared" si="24"/>
        <v>0</v>
      </c>
      <c r="L56" s="830">
        <f t="shared" si="24"/>
        <v>0</v>
      </c>
      <c r="M56" s="830">
        <f t="shared" si="24"/>
        <v>0</v>
      </c>
      <c r="N56" s="830">
        <f t="shared" si="24"/>
        <v>0</v>
      </c>
      <c r="O56" s="830">
        <f t="shared" si="24"/>
        <v>0</v>
      </c>
      <c r="P56" s="834">
        <f>SUM(D56:O56)</f>
        <v>0</v>
      </c>
    </row>
    <row r="57" spans="1:16" s="146" customFormat="1" ht="13.5">
      <c r="A57" s="807"/>
      <c r="B57" s="835" t="s">
        <v>627</v>
      </c>
      <c r="C57" s="808"/>
      <c r="D57" s="833">
        <f aca="true" t="shared" si="25" ref="D57:O57">SUM(D68,D80,D89,D129,D98)</f>
        <v>14116.79851416235</v>
      </c>
      <c r="E57" s="833">
        <f t="shared" si="25"/>
        <v>18448.28688292921</v>
      </c>
      <c r="F57" s="833">
        <f t="shared" si="25"/>
        <v>14821.809275611748</v>
      </c>
      <c r="G57" s="833">
        <f t="shared" si="25"/>
        <v>12137.70130981968</v>
      </c>
      <c r="H57" s="833">
        <f t="shared" si="25"/>
        <v>632491.1612247279</v>
      </c>
      <c r="I57" s="833">
        <f t="shared" si="25"/>
        <v>2129923.1503740842</v>
      </c>
      <c r="J57" s="833">
        <f t="shared" si="25"/>
        <v>3994830.908926832</v>
      </c>
      <c r="K57" s="833">
        <f t="shared" si="25"/>
        <v>-188940.18354957577</v>
      </c>
      <c r="L57" s="833">
        <f t="shared" si="25"/>
        <v>98014.74366757763</v>
      </c>
      <c r="M57" s="833">
        <f t="shared" si="25"/>
        <v>96121.96624066381</v>
      </c>
      <c r="N57" s="833">
        <f t="shared" si="25"/>
        <v>95465.79898323986</v>
      </c>
      <c r="O57" s="833">
        <f t="shared" si="25"/>
        <v>94809.63172581774</v>
      </c>
      <c r="P57" s="833">
        <f>SUM(D57:O57)</f>
        <v>7012241.77357589</v>
      </c>
    </row>
    <row r="58" spans="1:16" s="812" customFormat="1" ht="12.75">
      <c r="A58" s="812" t="s">
        <v>154</v>
      </c>
      <c r="C58" s="813">
        <f>SUM(C69,C81,C90,C130)</f>
        <v>690.846286701209</v>
      </c>
      <c r="D58" s="814">
        <f aca="true" t="shared" si="26" ref="D58:P58">D54+D55-D57</f>
        <v>0</v>
      </c>
      <c r="E58" s="814">
        <f t="shared" si="26"/>
        <v>0</v>
      </c>
      <c r="F58" s="814">
        <f t="shared" si="26"/>
        <v>0</v>
      </c>
      <c r="G58" s="814">
        <f t="shared" si="26"/>
        <v>0</v>
      </c>
      <c r="H58" s="814">
        <f t="shared" si="26"/>
        <v>0</v>
      </c>
      <c r="I58" s="814">
        <f t="shared" si="26"/>
        <v>0</v>
      </c>
      <c r="J58" s="814">
        <f t="shared" si="26"/>
        <v>0</v>
      </c>
      <c r="K58" s="814">
        <f t="shared" si="26"/>
        <v>0</v>
      </c>
      <c r="L58" s="814">
        <f t="shared" si="26"/>
        <v>0</v>
      </c>
      <c r="M58" s="814">
        <f t="shared" si="26"/>
        <v>0</v>
      </c>
      <c r="N58" s="814">
        <f t="shared" si="26"/>
        <v>0</v>
      </c>
      <c r="O58" s="814">
        <f t="shared" si="26"/>
        <v>0</v>
      </c>
      <c r="P58" s="815">
        <f t="shared" si="26"/>
        <v>-690.8462867010385</v>
      </c>
    </row>
    <row r="59" spans="1:16" s="812" customFormat="1" ht="12.75">
      <c r="A59" s="812" t="s">
        <v>630</v>
      </c>
      <c r="C59" s="813"/>
      <c r="D59" s="814">
        <f aca="true" t="shared" si="27" ref="D59:O59">D58-$C$58</f>
        <v>-690.846286701209</v>
      </c>
      <c r="E59" s="814">
        <f t="shared" si="27"/>
        <v>-690.846286701209</v>
      </c>
      <c r="F59" s="814">
        <f t="shared" si="27"/>
        <v>-690.846286701209</v>
      </c>
      <c r="G59" s="814">
        <f t="shared" si="27"/>
        <v>-690.846286701209</v>
      </c>
      <c r="H59" s="814">
        <f t="shared" si="27"/>
        <v>-690.846286701209</v>
      </c>
      <c r="I59" s="814">
        <f t="shared" si="27"/>
        <v>-690.846286701209</v>
      </c>
      <c r="J59" s="814">
        <f t="shared" si="27"/>
        <v>-690.846286701209</v>
      </c>
      <c r="K59" s="814">
        <f t="shared" si="27"/>
        <v>-690.846286701209</v>
      </c>
      <c r="L59" s="814">
        <f t="shared" si="27"/>
        <v>-690.846286701209</v>
      </c>
      <c r="M59" s="814">
        <f t="shared" si="27"/>
        <v>-690.846286701209</v>
      </c>
      <c r="N59" s="814">
        <f t="shared" si="27"/>
        <v>-690.846286701209</v>
      </c>
      <c r="O59" s="814">
        <f t="shared" si="27"/>
        <v>-690.846286701209</v>
      </c>
      <c r="P59" s="815"/>
    </row>
    <row r="60" spans="4:16" s="816" customFormat="1" ht="12.75"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9"/>
    </row>
    <row r="61" spans="1:16" s="816" customFormat="1" ht="12.75" outlineLevel="1">
      <c r="A61" s="125" t="s">
        <v>631</v>
      </c>
      <c r="D61" s="818"/>
      <c r="E61" s="818"/>
      <c r="F61" s="818"/>
      <c r="G61" s="818"/>
      <c r="H61" s="818"/>
      <c r="I61" s="818"/>
      <c r="J61" s="818"/>
      <c r="K61" s="818"/>
      <c r="L61" s="818"/>
      <c r="M61" s="818"/>
      <c r="N61" s="818"/>
      <c r="O61" s="818"/>
      <c r="P61" s="819"/>
    </row>
    <row r="62" spans="1:16" s="839" customFormat="1" ht="13.5" customHeight="1" outlineLevel="1">
      <c r="A62" s="836"/>
      <c r="B62" s="837"/>
      <c r="C62" s="838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6"/>
    </row>
    <row r="63" spans="1:16" s="146" customFormat="1" ht="13.5" customHeight="1" outlineLevel="1">
      <c r="A63" s="167" t="s">
        <v>104</v>
      </c>
      <c r="B63" s="146" t="str">
        <f>VLOOKUP(A63,Справочники!$B:$F,4,FALSE)</f>
        <v>Налог на доходы физических лиц (НДФЛ)</v>
      </c>
      <c r="C63" s="791"/>
      <c r="E63" s="792"/>
      <c r="F63" s="792"/>
      <c r="G63" s="792"/>
      <c r="H63" s="793"/>
      <c r="I63" s="793"/>
      <c r="J63" s="793"/>
      <c r="K63" s="793"/>
      <c r="L63" s="793"/>
      <c r="M63" s="793"/>
      <c r="N63" s="793"/>
      <c r="O63" s="793"/>
      <c r="P63" s="794"/>
    </row>
    <row r="64" spans="1:16" s="799" customFormat="1" ht="13.5" customHeight="1" outlineLevel="1">
      <c r="A64" s="795" t="s">
        <v>623</v>
      </c>
      <c r="B64" s="796" t="s">
        <v>624</v>
      </c>
      <c r="C64" s="795"/>
      <c r="D64" s="798">
        <f aca="true" t="shared" si="28" ref="D64:O64">D11</f>
        <v>100020</v>
      </c>
      <c r="E64" s="798">
        <f t="shared" si="28"/>
        <v>100020</v>
      </c>
      <c r="F64" s="798">
        <f t="shared" si="28"/>
        <v>100020</v>
      </c>
      <c r="G64" s="798">
        <f t="shared" si="28"/>
        <v>100020</v>
      </c>
      <c r="H64" s="798">
        <f t="shared" si="28"/>
        <v>551350</v>
      </c>
      <c r="I64" s="798">
        <f t="shared" si="28"/>
        <v>606485</v>
      </c>
      <c r="J64" s="798">
        <f t="shared" si="28"/>
        <v>667133.5</v>
      </c>
      <c r="K64" s="798">
        <f t="shared" si="28"/>
        <v>733846.85</v>
      </c>
      <c r="L64" s="798">
        <f t="shared" si="28"/>
        <v>733846.85</v>
      </c>
      <c r="M64" s="798">
        <f t="shared" si="28"/>
        <v>733846.85</v>
      </c>
      <c r="N64" s="798">
        <f t="shared" si="28"/>
        <v>733846.85</v>
      </c>
      <c r="O64" s="798">
        <f t="shared" si="28"/>
        <v>733846.85</v>
      </c>
      <c r="P64" s="798">
        <f>SUM(D64:O64)</f>
        <v>5894282.749999999</v>
      </c>
    </row>
    <row r="65" spans="1:16" s="800" customFormat="1" ht="12.75" outlineLevel="1">
      <c r="A65" s="800" t="s">
        <v>153</v>
      </c>
      <c r="C65" s="801"/>
      <c r="D65" s="802">
        <f>C69</f>
        <v>690.846286701209</v>
      </c>
      <c r="E65" s="802">
        <f aca="true" t="shared" si="29" ref="E65:O65">D69</f>
        <v>0</v>
      </c>
      <c r="F65" s="802">
        <f t="shared" si="29"/>
        <v>0</v>
      </c>
      <c r="G65" s="802">
        <f t="shared" si="29"/>
        <v>0</v>
      </c>
      <c r="H65" s="802">
        <f t="shared" si="29"/>
        <v>0</v>
      </c>
      <c r="I65" s="802">
        <f t="shared" si="29"/>
        <v>0</v>
      </c>
      <c r="J65" s="802">
        <f t="shared" si="29"/>
        <v>0</v>
      </c>
      <c r="K65" s="802">
        <f t="shared" si="29"/>
        <v>0</v>
      </c>
      <c r="L65" s="802">
        <f t="shared" si="29"/>
        <v>0</v>
      </c>
      <c r="M65" s="802">
        <f t="shared" si="29"/>
        <v>0</v>
      </c>
      <c r="N65" s="802">
        <f t="shared" si="29"/>
        <v>0</v>
      </c>
      <c r="O65" s="802">
        <f t="shared" si="29"/>
        <v>0</v>
      </c>
      <c r="P65" s="794">
        <f>D65</f>
        <v>690.846286701209</v>
      </c>
    </row>
    <row r="66" spans="2:16" s="146" customFormat="1" ht="12.75" outlineLevel="1">
      <c r="B66" s="146" t="s">
        <v>632</v>
      </c>
      <c r="C66" s="808"/>
      <c r="D66" s="821">
        <f>D64*Параметры!D$33</f>
        <v>13002.6</v>
      </c>
      <c r="E66" s="821">
        <f>E64*Параметры!E$33</f>
        <v>13002.6</v>
      </c>
      <c r="F66" s="821">
        <f>F64*Параметры!F$33</f>
        <v>13002.6</v>
      </c>
      <c r="G66" s="821">
        <f>G64*Параметры!G$33</f>
        <v>13002.6</v>
      </c>
      <c r="H66" s="821">
        <f>H64*Параметры!H$33</f>
        <v>71675.5</v>
      </c>
      <c r="I66" s="821">
        <f>I64*Параметры!I$33</f>
        <v>78843.05</v>
      </c>
      <c r="J66" s="821">
        <f>J64*Параметры!J$33</f>
        <v>86727.355</v>
      </c>
      <c r="K66" s="821">
        <f>K64*Параметры!K$33</f>
        <v>95400.0905</v>
      </c>
      <c r="L66" s="821">
        <f>L64*Параметры!L$33</f>
        <v>95400.0905</v>
      </c>
      <c r="M66" s="821">
        <f>M64*Параметры!M$33</f>
        <v>95400.0905</v>
      </c>
      <c r="N66" s="821">
        <f>N64*Параметры!N$33</f>
        <v>95400.0905</v>
      </c>
      <c r="O66" s="821">
        <f>O64*Параметры!O$33</f>
        <v>95400.0905</v>
      </c>
      <c r="P66" s="821">
        <f>SUM(D66:O66)</f>
        <v>766256.7575000001</v>
      </c>
    </row>
    <row r="67" spans="1:16" s="800" customFormat="1" ht="13.5" outlineLevel="1">
      <c r="A67" s="807"/>
      <c r="B67" s="810"/>
      <c r="C67" s="808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6">
        <f>SUM(D67:O67)</f>
        <v>0</v>
      </c>
    </row>
    <row r="68" spans="1:16" s="146" customFormat="1" ht="13.5" outlineLevel="1">
      <c r="A68" s="807"/>
      <c r="B68" s="835" t="s">
        <v>627</v>
      </c>
      <c r="C68" s="808"/>
      <c r="D68" s="821">
        <f>IF(D65+D66&gt;0,D65+D66,0)</f>
        <v>13693.44628670121</v>
      </c>
      <c r="E68" s="821">
        <f aca="true" t="shared" si="30" ref="E68:O68">IF(E65+E66&gt;0,E65+E66,0)</f>
        <v>13002.6</v>
      </c>
      <c r="F68" s="821">
        <f t="shared" si="30"/>
        <v>13002.6</v>
      </c>
      <c r="G68" s="821">
        <f t="shared" si="30"/>
        <v>13002.6</v>
      </c>
      <c r="H68" s="821">
        <f t="shared" si="30"/>
        <v>71675.5</v>
      </c>
      <c r="I68" s="821">
        <f t="shared" si="30"/>
        <v>78843.05</v>
      </c>
      <c r="J68" s="821">
        <f t="shared" si="30"/>
        <v>86727.355</v>
      </c>
      <c r="K68" s="821">
        <f t="shared" si="30"/>
        <v>95400.0905</v>
      </c>
      <c r="L68" s="821">
        <f t="shared" si="30"/>
        <v>95400.0905</v>
      </c>
      <c r="M68" s="821">
        <f t="shared" si="30"/>
        <v>95400.0905</v>
      </c>
      <c r="N68" s="821">
        <f t="shared" si="30"/>
        <v>95400.0905</v>
      </c>
      <c r="O68" s="821">
        <f t="shared" si="30"/>
        <v>95400.0905</v>
      </c>
      <c r="P68" s="821">
        <f>SUM(D68:O68)</f>
        <v>766947.6037867013</v>
      </c>
    </row>
    <row r="69" spans="1:16" s="812" customFormat="1" ht="12.75" outlineLevel="1">
      <c r="A69" s="812" t="s">
        <v>154</v>
      </c>
      <c r="C69" s="823">
        <f>20000/Параметры!C14</f>
        <v>690.846286701209</v>
      </c>
      <c r="D69" s="814">
        <f aca="true" t="shared" si="31" ref="D69:O69">D65+D66-D68</f>
        <v>0</v>
      </c>
      <c r="E69" s="814">
        <f t="shared" si="31"/>
        <v>0</v>
      </c>
      <c r="F69" s="814">
        <f t="shared" si="31"/>
        <v>0</v>
      </c>
      <c r="G69" s="814">
        <f t="shared" si="31"/>
        <v>0</v>
      </c>
      <c r="H69" s="814">
        <f t="shared" si="31"/>
        <v>0</v>
      </c>
      <c r="I69" s="814">
        <f t="shared" si="31"/>
        <v>0</v>
      </c>
      <c r="J69" s="814">
        <f t="shared" si="31"/>
        <v>0</v>
      </c>
      <c r="K69" s="814">
        <f t="shared" si="31"/>
        <v>0</v>
      </c>
      <c r="L69" s="814">
        <f t="shared" si="31"/>
        <v>0</v>
      </c>
      <c r="M69" s="814">
        <f t="shared" si="31"/>
        <v>0</v>
      </c>
      <c r="N69" s="814">
        <f t="shared" si="31"/>
        <v>0</v>
      </c>
      <c r="O69" s="814">
        <f t="shared" si="31"/>
        <v>0</v>
      </c>
      <c r="P69" s="815">
        <f>O69</f>
        <v>0</v>
      </c>
    </row>
    <row r="70" spans="4:16" s="816" customFormat="1" ht="12.75" outlineLevel="1">
      <c r="D70" s="820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9"/>
    </row>
    <row r="71" spans="1:16" s="800" customFormat="1" ht="12.75" outlineLevel="1">
      <c r="A71" s="816"/>
      <c r="B71" s="816"/>
      <c r="C71" s="816"/>
      <c r="D71" s="818"/>
      <c r="E71" s="818"/>
      <c r="F71" s="818"/>
      <c r="G71" s="818"/>
      <c r="H71" s="818"/>
      <c r="I71" s="818"/>
      <c r="J71" s="818"/>
      <c r="K71" s="818"/>
      <c r="L71" s="818"/>
      <c r="M71" s="818"/>
      <c r="N71" s="818"/>
      <c r="O71" s="818"/>
      <c r="P71" s="819"/>
    </row>
    <row r="72" spans="1:16" s="816" customFormat="1" ht="12.75" outlineLevel="1">
      <c r="A72" s="167" t="s">
        <v>521</v>
      </c>
      <c r="B72" s="146" t="str">
        <f>VLOOKUP(A72,Справочники!$B:$F,4,FALSE)</f>
        <v>Налог на имущество</v>
      </c>
      <c r="C72" s="840"/>
      <c r="P72" s="806"/>
    </row>
    <row r="73" spans="1:16" s="799" customFormat="1" ht="13.5" customHeight="1" outlineLevel="1">
      <c r="A73" s="795" t="s">
        <v>623</v>
      </c>
      <c r="B73" s="796" t="s">
        <v>633</v>
      </c>
      <c r="C73" s="795"/>
      <c r="D73" s="798"/>
      <c r="E73" s="798"/>
      <c r="F73" s="841"/>
      <c r="G73" s="841"/>
      <c r="H73" s="841"/>
      <c r="I73" s="841"/>
      <c r="J73" s="841"/>
      <c r="K73" s="841"/>
      <c r="L73" s="841"/>
      <c r="M73" s="841"/>
      <c r="N73" s="841"/>
      <c r="O73" s="841"/>
      <c r="P73" s="842"/>
    </row>
    <row r="74" spans="1:16" s="816" customFormat="1" ht="12.75" outlineLevel="2">
      <c r="A74" s="838"/>
      <c r="B74" s="816" t="s">
        <v>634</v>
      </c>
      <c r="C74" s="801"/>
      <c r="D74" s="818">
        <f>SUM(D75,D76)</f>
        <v>84670.44549222798</v>
      </c>
      <c r="E74" s="818">
        <f aca="true" t="shared" si="32" ref="E74:O74">SUM(E75,E76)</f>
        <v>85531.22086355787</v>
      </c>
      <c r="F74" s="818">
        <f t="shared" si="32"/>
        <v>86390.99623488775</v>
      </c>
      <c r="G74" s="818">
        <f t="shared" si="32"/>
        <v>447026.52031088085</v>
      </c>
      <c r="H74" s="818">
        <f t="shared" si="32"/>
        <v>411457.6217962003</v>
      </c>
      <c r="I74" s="818">
        <f t="shared" si="32"/>
        <v>823088.72328152</v>
      </c>
      <c r="J74" s="818">
        <f t="shared" si="32"/>
        <v>1332519.8247668394</v>
      </c>
      <c r="K74" s="818">
        <f t="shared" si="32"/>
        <v>1939350.9262521588</v>
      </c>
      <c r="L74" s="818">
        <f t="shared" si="32"/>
        <v>1896182.0277374785</v>
      </c>
      <c r="M74" s="818">
        <f t="shared" si="32"/>
        <v>1853013.129222798</v>
      </c>
      <c r="N74" s="818">
        <f t="shared" si="32"/>
        <v>1809844.2307081176</v>
      </c>
      <c r="O74" s="818">
        <f t="shared" si="32"/>
        <v>1766675.332193437</v>
      </c>
      <c r="P74" s="843"/>
    </row>
    <row r="75" spans="1:16" s="816" customFormat="1" ht="12.75" outlineLevel="2">
      <c r="A75" s="838"/>
      <c r="B75" s="816" t="s">
        <v>729</v>
      </c>
      <c r="C75" s="801"/>
      <c r="D75" s="1085">
        <f>'Расчет АМО'!D28</f>
        <v>83592.46621761659</v>
      </c>
      <c r="E75" s="1085">
        <f>'Расчет АМО'!E28</f>
        <v>84484.07060449051</v>
      </c>
      <c r="F75" s="1085">
        <f>'Расчет АМО'!F28</f>
        <v>85374.67499136443</v>
      </c>
      <c r="G75" s="1085">
        <f>'Расчет АМО'!G28</f>
        <v>86264.27937823835</v>
      </c>
      <c r="H75" s="1085">
        <f>'Расчет АМО'!H28</f>
        <v>86818.69692573402</v>
      </c>
      <c r="I75" s="1085">
        <f>'Расчет АМО'!I28</f>
        <v>534573.1144732297</v>
      </c>
      <c r="J75" s="1085">
        <f>'Расчет АМО'!J28</f>
        <v>1080127.5320207255</v>
      </c>
      <c r="K75" s="1085">
        <f>'Расчет АМО'!K28</f>
        <v>1723081.949568221</v>
      </c>
      <c r="L75" s="1085">
        <f>'Расчет АМО'!L28</f>
        <v>1716036.367115717</v>
      </c>
      <c r="M75" s="1085">
        <f>'Расчет АМО'!M28</f>
        <v>1708990.7846632125</v>
      </c>
      <c r="N75" s="1085">
        <f>'Расчет АМО'!N28</f>
        <v>1701945.2022107083</v>
      </c>
      <c r="O75" s="1085">
        <f>'Расчет АМО'!O28</f>
        <v>1694899.6197582039</v>
      </c>
      <c r="P75" s="843"/>
    </row>
    <row r="76" spans="1:16" s="816" customFormat="1" ht="12.75" outlineLevel="2">
      <c r="A76" s="838"/>
      <c r="B76" s="816" t="s">
        <v>730</v>
      </c>
      <c r="C76" s="801"/>
      <c r="D76" s="1085">
        <f>'Расчет АМО'!D39</f>
        <v>1077.979274611399</v>
      </c>
      <c r="E76" s="1085">
        <f>'Расчет АМО'!E39</f>
        <v>1047.1502590673576</v>
      </c>
      <c r="F76" s="1085">
        <f>'Расчет АМО'!F39</f>
        <v>1016.3212435233162</v>
      </c>
      <c r="G76" s="1085">
        <f>'Расчет АМО'!G39</f>
        <v>360762.2409326425</v>
      </c>
      <c r="H76" s="1085">
        <f>'Расчет АМО'!H39</f>
        <v>324638.9248704663</v>
      </c>
      <c r="I76" s="1085">
        <f>'Расчет АМО'!I39</f>
        <v>288515.60880829016</v>
      </c>
      <c r="J76" s="1085">
        <f>'Расчет АМО'!J39</f>
        <v>252392.29274611396</v>
      </c>
      <c r="K76" s="1085">
        <f>'Расчет АМО'!K39</f>
        <v>216268.97668393783</v>
      </c>
      <c r="L76" s="1085">
        <f>'Расчет АМО'!L39</f>
        <v>180145.66062176166</v>
      </c>
      <c r="M76" s="1085">
        <f>'Расчет АМО'!M39</f>
        <v>144022.3445595855</v>
      </c>
      <c r="N76" s="1085">
        <f>'Расчет АМО'!N39</f>
        <v>107899.02849740934</v>
      </c>
      <c r="O76" s="1085">
        <f>'Расчет АМО'!O39</f>
        <v>71775.71243523317</v>
      </c>
      <c r="P76" s="843"/>
    </row>
    <row r="77" spans="1:16" s="816" customFormat="1" ht="12.75" outlineLevel="1">
      <c r="A77" s="816" t="s">
        <v>153</v>
      </c>
      <c r="C77" s="801"/>
      <c r="D77" s="802">
        <f>C81</f>
        <v>0</v>
      </c>
      <c r="E77" s="818">
        <f aca="true" t="shared" si="33" ref="E77:O77">D81</f>
        <v>0</v>
      </c>
      <c r="F77" s="818">
        <f t="shared" si="33"/>
        <v>0</v>
      </c>
      <c r="G77" s="818">
        <f t="shared" si="33"/>
        <v>0</v>
      </c>
      <c r="H77" s="818">
        <f t="shared" si="33"/>
        <v>0</v>
      </c>
      <c r="I77" s="818">
        <f t="shared" si="33"/>
        <v>0</v>
      </c>
      <c r="J77" s="818">
        <f t="shared" si="33"/>
        <v>0</v>
      </c>
      <c r="K77" s="818">
        <f t="shared" si="33"/>
        <v>0</v>
      </c>
      <c r="L77" s="818">
        <f t="shared" si="33"/>
        <v>0</v>
      </c>
      <c r="M77" s="818">
        <f t="shared" si="33"/>
        <v>0</v>
      </c>
      <c r="N77" s="818">
        <f t="shared" si="33"/>
        <v>0</v>
      </c>
      <c r="O77" s="818">
        <f t="shared" si="33"/>
        <v>0</v>
      </c>
      <c r="P77" s="806">
        <f>D77</f>
        <v>0</v>
      </c>
    </row>
    <row r="78" spans="2:16" s="845" customFormat="1" ht="12.75" outlineLevel="1">
      <c r="B78" s="146" t="s">
        <v>632</v>
      </c>
      <c r="C78" s="805"/>
      <c r="D78" s="806">
        <f>(D74*Параметры!D$34)/4</f>
        <v>423.35222746113993</v>
      </c>
      <c r="E78" s="806">
        <f>(E74*Параметры!E$34)/4</f>
        <v>427.65610431778936</v>
      </c>
      <c r="F78" s="806">
        <f>(F74*Параметры!F$34)/4</f>
        <v>431.95498117443873</v>
      </c>
      <c r="G78" s="806">
        <f>(G74*Параметры!G$34)/4</f>
        <v>2235.132601554404</v>
      </c>
      <c r="H78" s="806">
        <f>H74*Параметры!H$34</f>
        <v>8229.152435924007</v>
      </c>
      <c r="I78" s="806">
        <f>I74*Параметры!I$34</f>
        <v>16461.7744656304</v>
      </c>
      <c r="J78" s="806">
        <f>J74*Параметры!J$34</f>
        <v>26650.396495336787</v>
      </c>
      <c r="K78" s="806">
        <f>K74*Параметры!K$34</f>
        <v>38787.018525043175</v>
      </c>
      <c r="L78" s="806">
        <f>L74*Параметры!L$34</f>
        <v>37923.640554749574</v>
      </c>
      <c r="M78" s="806">
        <f>M74*Параметры!M$34</f>
        <v>37060.26258445596</v>
      </c>
      <c r="N78" s="806">
        <f>N74*Параметры!N$34</f>
        <v>36196.88461416235</v>
      </c>
      <c r="O78" s="806">
        <f>O74*Параметры!O$34</f>
        <v>35333.50664386874</v>
      </c>
      <c r="P78" s="806">
        <f>SUM(D78:O78)</f>
        <v>240160.73223367878</v>
      </c>
    </row>
    <row r="79" spans="1:16" s="816" customFormat="1" ht="12.75" outlineLevel="1">
      <c r="A79" s="846"/>
      <c r="B79" s="810" t="s">
        <v>626</v>
      </c>
      <c r="C79" s="808"/>
      <c r="D79" s="844"/>
      <c r="E79" s="844"/>
      <c r="F79" s="844"/>
      <c r="G79" s="844"/>
      <c r="H79" s="844"/>
      <c r="I79" s="844"/>
      <c r="J79" s="844"/>
      <c r="K79" s="844"/>
      <c r="L79" s="844"/>
      <c r="M79" s="844"/>
      <c r="N79" s="844"/>
      <c r="O79" s="844"/>
      <c r="P79" s="806">
        <f>SUM(D79:O79)</f>
        <v>0</v>
      </c>
    </row>
    <row r="80" spans="1:16" s="845" customFormat="1" ht="12.75" outlineLevel="1">
      <c r="A80" s="847"/>
      <c r="B80" s="804" t="s">
        <v>627</v>
      </c>
      <c r="D80" s="806">
        <f>IF(D77+D78+D79&gt;0,D77+D78+D79,0)</f>
        <v>423.35222746113993</v>
      </c>
      <c r="E80" s="806">
        <f aca="true" t="shared" si="34" ref="E80:O80">IF(E77+E78+E79&gt;0,E77+E78+E79,0)</f>
        <v>427.65610431778936</v>
      </c>
      <c r="F80" s="806">
        <f t="shared" si="34"/>
        <v>431.95498117443873</v>
      </c>
      <c r="G80" s="806">
        <f t="shared" si="34"/>
        <v>2235.132601554404</v>
      </c>
      <c r="H80" s="806">
        <f t="shared" si="34"/>
        <v>8229.152435924007</v>
      </c>
      <c r="I80" s="806">
        <f t="shared" si="34"/>
        <v>16461.7744656304</v>
      </c>
      <c r="J80" s="806">
        <f t="shared" si="34"/>
        <v>26650.396495336787</v>
      </c>
      <c r="K80" s="806">
        <f t="shared" si="34"/>
        <v>38787.018525043175</v>
      </c>
      <c r="L80" s="806">
        <f t="shared" si="34"/>
        <v>37923.640554749574</v>
      </c>
      <c r="M80" s="806">
        <f t="shared" si="34"/>
        <v>37060.26258445596</v>
      </c>
      <c r="N80" s="806">
        <f t="shared" si="34"/>
        <v>36196.88461416235</v>
      </c>
      <c r="O80" s="806">
        <f t="shared" si="34"/>
        <v>35333.50664386874</v>
      </c>
      <c r="P80" s="806">
        <f>SUM(D80:O80)</f>
        <v>240160.73223367878</v>
      </c>
    </row>
    <row r="81" spans="1:16" s="812" customFormat="1" ht="12.75" outlineLevel="1">
      <c r="A81" s="812" t="s">
        <v>154</v>
      </c>
      <c r="C81" s="823">
        <v>0</v>
      </c>
      <c r="D81" s="814">
        <f aca="true" t="shared" si="35" ref="D81:O81">D77+D78-D80+D79</f>
        <v>0</v>
      </c>
      <c r="E81" s="814">
        <f t="shared" si="35"/>
        <v>0</v>
      </c>
      <c r="F81" s="814">
        <f t="shared" si="35"/>
        <v>0</v>
      </c>
      <c r="G81" s="814">
        <f t="shared" si="35"/>
        <v>0</v>
      </c>
      <c r="H81" s="814">
        <f t="shared" si="35"/>
        <v>0</v>
      </c>
      <c r="I81" s="814">
        <f t="shared" si="35"/>
        <v>0</v>
      </c>
      <c r="J81" s="814">
        <f t="shared" si="35"/>
        <v>0</v>
      </c>
      <c r="K81" s="814">
        <f t="shared" si="35"/>
        <v>0</v>
      </c>
      <c r="L81" s="814">
        <f t="shared" si="35"/>
        <v>0</v>
      </c>
      <c r="M81" s="814">
        <f t="shared" si="35"/>
        <v>0</v>
      </c>
      <c r="N81" s="814">
        <f t="shared" si="35"/>
        <v>0</v>
      </c>
      <c r="O81" s="814">
        <f t="shared" si="35"/>
        <v>0</v>
      </c>
      <c r="P81" s="815">
        <f>O81</f>
        <v>0</v>
      </c>
    </row>
    <row r="82" spans="3:16" s="816" customFormat="1" ht="12.75" outlineLevel="1">
      <c r="C82" s="817"/>
      <c r="D82" s="818"/>
      <c r="E82" s="818"/>
      <c r="F82" s="818"/>
      <c r="G82" s="818"/>
      <c r="H82" s="818"/>
      <c r="I82" s="818"/>
      <c r="J82" s="818"/>
      <c r="K82" s="818"/>
      <c r="L82" s="818"/>
      <c r="M82" s="818"/>
      <c r="N82" s="818"/>
      <c r="O82" s="818"/>
      <c r="P82" s="819"/>
    </row>
    <row r="83" spans="1:16" s="816" customFormat="1" ht="12.75" outlineLevel="1">
      <c r="A83" s="848"/>
      <c r="D83" s="820"/>
      <c r="E83" s="818"/>
      <c r="F83" s="818"/>
      <c r="G83" s="818"/>
      <c r="H83" s="818"/>
      <c r="I83" s="818"/>
      <c r="J83" s="818"/>
      <c r="K83" s="818"/>
      <c r="L83" s="818"/>
      <c r="M83" s="818"/>
      <c r="N83" s="818"/>
      <c r="O83" s="818"/>
      <c r="P83" s="806"/>
    </row>
    <row r="84" spans="1:16" s="816" customFormat="1" ht="12.75" outlineLevel="1">
      <c r="A84" s="167" t="s">
        <v>574</v>
      </c>
      <c r="B84" s="146" t="str">
        <f>VLOOKUP(A84,Справочники!$B:$F,4,FALSE)</f>
        <v>Налог на дивиденды</v>
      </c>
      <c r="C84" s="849"/>
      <c r="P84" s="806"/>
    </row>
    <row r="85" spans="1:16" s="799" customFormat="1" ht="13.5" customHeight="1" outlineLevel="1">
      <c r="A85" s="795" t="s">
        <v>623</v>
      </c>
      <c r="B85" s="796" t="s">
        <v>635</v>
      </c>
      <c r="C85" s="795"/>
      <c r="D85" s="850"/>
      <c r="E85" s="850"/>
      <c r="F85" s="850"/>
      <c r="G85" s="850"/>
      <c r="H85" s="850"/>
      <c r="I85" s="850"/>
      <c r="J85" s="850"/>
      <c r="K85" s="850"/>
      <c r="L85" s="850"/>
      <c r="M85" s="850"/>
      <c r="N85" s="850"/>
      <c r="O85" s="850"/>
      <c r="P85" s="842"/>
    </row>
    <row r="86" spans="1:16" s="816" customFormat="1" ht="12.75" outlineLevel="1">
      <c r="A86" s="816" t="s">
        <v>153</v>
      </c>
      <c r="C86" s="801"/>
      <c r="D86" s="802">
        <f aca="true" t="shared" si="36" ref="D86:O86">C90</f>
        <v>0</v>
      </c>
      <c r="E86" s="818">
        <f t="shared" si="36"/>
        <v>0</v>
      </c>
      <c r="F86" s="818">
        <f t="shared" si="36"/>
        <v>0</v>
      </c>
      <c r="G86" s="818">
        <f t="shared" si="36"/>
        <v>0</v>
      </c>
      <c r="H86" s="818">
        <f t="shared" si="36"/>
        <v>0</v>
      </c>
      <c r="I86" s="818">
        <f t="shared" si="36"/>
        <v>0</v>
      </c>
      <c r="J86" s="818">
        <f t="shared" si="36"/>
        <v>0</v>
      </c>
      <c r="K86" s="818">
        <f t="shared" si="36"/>
        <v>0</v>
      </c>
      <c r="L86" s="818">
        <f t="shared" si="36"/>
        <v>0</v>
      </c>
      <c r="M86" s="818">
        <f t="shared" si="36"/>
        <v>0</v>
      </c>
      <c r="N86" s="818">
        <f t="shared" si="36"/>
        <v>0</v>
      </c>
      <c r="O86" s="818">
        <f t="shared" si="36"/>
        <v>0</v>
      </c>
      <c r="P86" s="806">
        <f>D86</f>
        <v>0</v>
      </c>
    </row>
    <row r="87" spans="1:16" s="845" customFormat="1" ht="12.75" outlineLevel="1">
      <c r="A87" s="851"/>
      <c r="B87" s="146" t="s">
        <v>632</v>
      </c>
      <c r="C87" s="805"/>
      <c r="D87" s="806">
        <f>D85*Параметры!D$36</f>
        <v>0</v>
      </c>
      <c r="E87" s="806">
        <f>E85*Параметры!E$36</f>
        <v>0</v>
      </c>
      <c r="F87" s="806">
        <f>F85*Параметры!F$36</f>
        <v>0</v>
      </c>
      <c r="G87" s="806">
        <f>G85*Параметры!G$36</f>
        <v>0</v>
      </c>
      <c r="H87" s="806">
        <f>H85*Параметры!H$36</f>
        <v>0</v>
      </c>
      <c r="I87" s="806">
        <f>I85*Параметры!I$36</f>
        <v>0</v>
      </c>
      <c r="J87" s="806">
        <f>J85*Параметры!J$36</f>
        <v>0</v>
      </c>
      <c r="K87" s="806">
        <f>K85*Параметры!K$36</f>
        <v>0</v>
      </c>
      <c r="L87" s="806">
        <f>L85*Параметры!L$36</f>
        <v>0</v>
      </c>
      <c r="M87" s="806">
        <f>M85*Параметры!M$36</f>
        <v>0</v>
      </c>
      <c r="N87" s="806">
        <f>N85*Параметры!N$36</f>
        <v>0</v>
      </c>
      <c r="O87" s="806">
        <f>O85*Параметры!O$36</f>
        <v>0</v>
      </c>
      <c r="P87" s="806">
        <f>SUM(D87:O87)</f>
        <v>0</v>
      </c>
    </row>
    <row r="88" spans="1:16" s="816" customFormat="1" ht="12.75" outlineLevel="1">
      <c r="A88" s="846"/>
      <c r="B88" s="810"/>
      <c r="C88" s="808"/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6">
        <f>SUM(D88:O88)</f>
        <v>0</v>
      </c>
    </row>
    <row r="89" spans="1:16" s="845" customFormat="1" ht="12.75" outlineLevel="1">
      <c r="A89" s="852"/>
      <c r="B89" s="804" t="s">
        <v>627</v>
      </c>
      <c r="D89" s="806">
        <f>D87</f>
        <v>0</v>
      </c>
      <c r="E89" s="806">
        <f aca="true" t="shared" si="37" ref="E89:O89">E87</f>
        <v>0</v>
      </c>
      <c r="F89" s="806">
        <f t="shared" si="37"/>
        <v>0</v>
      </c>
      <c r="G89" s="806">
        <f t="shared" si="37"/>
        <v>0</v>
      </c>
      <c r="H89" s="806">
        <f t="shared" si="37"/>
        <v>0</v>
      </c>
      <c r="I89" s="806">
        <f t="shared" si="37"/>
        <v>0</v>
      </c>
      <c r="J89" s="806">
        <f t="shared" si="37"/>
        <v>0</v>
      </c>
      <c r="K89" s="806">
        <f t="shared" si="37"/>
        <v>0</v>
      </c>
      <c r="L89" s="806">
        <f t="shared" si="37"/>
        <v>0</v>
      </c>
      <c r="M89" s="806">
        <f t="shared" si="37"/>
        <v>0</v>
      </c>
      <c r="N89" s="806">
        <f t="shared" si="37"/>
        <v>0</v>
      </c>
      <c r="O89" s="806">
        <f t="shared" si="37"/>
        <v>0</v>
      </c>
      <c r="P89" s="806">
        <f>SUM(D89:O89)</f>
        <v>0</v>
      </c>
    </row>
    <row r="90" spans="1:16" s="812" customFormat="1" ht="12.75" outlineLevel="1">
      <c r="A90" s="812" t="s">
        <v>154</v>
      </c>
      <c r="C90" s="823">
        <v>0</v>
      </c>
      <c r="D90" s="814">
        <f>D86+D87-D89</f>
        <v>0</v>
      </c>
      <c r="E90" s="814">
        <f aca="true" t="shared" si="38" ref="E90:O90">E86+E87-E89</f>
        <v>0</v>
      </c>
      <c r="F90" s="814">
        <f t="shared" si="38"/>
        <v>0</v>
      </c>
      <c r="G90" s="814">
        <f t="shared" si="38"/>
        <v>0</v>
      </c>
      <c r="H90" s="814">
        <f t="shared" si="38"/>
        <v>0</v>
      </c>
      <c r="I90" s="814">
        <f t="shared" si="38"/>
        <v>0</v>
      </c>
      <c r="J90" s="814">
        <f t="shared" si="38"/>
        <v>0</v>
      </c>
      <c r="K90" s="814">
        <f t="shared" si="38"/>
        <v>0</v>
      </c>
      <c r="L90" s="814">
        <f t="shared" si="38"/>
        <v>0</v>
      </c>
      <c r="M90" s="814">
        <f t="shared" si="38"/>
        <v>0</v>
      </c>
      <c r="N90" s="814">
        <f t="shared" si="38"/>
        <v>0</v>
      </c>
      <c r="O90" s="814">
        <f t="shared" si="38"/>
        <v>0</v>
      </c>
      <c r="P90" s="815">
        <f>O90</f>
        <v>0</v>
      </c>
    </row>
    <row r="91" spans="1:16" s="816" customFormat="1" ht="12.75" outlineLevel="1">
      <c r="A91" s="848"/>
      <c r="D91" s="820"/>
      <c r="E91" s="818"/>
      <c r="F91" s="818"/>
      <c r="G91" s="818"/>
      <c r="H91" s="818"/>
      <c r="I91" s="818"/>
      <c r="J91" s="818"/>
      <c r="K91" s="818"/>
      <c r="L91" s="818"/>
      <c r="M91" s="818"/>
      <c r="N91" s="818"/>
      <c r="O91" s="818"/>
      <c r="P91" s="806"/>
    </row>
    <row r="92" spans="1:16" s="816" customFormat="1" ht="12.75" outlineLevel="1">
      <c r="A92" s="848"/>
      <c r="D92" s="820"/>
      <c r="E92" s="818"/>
      <c r="F92" s="818"/>
      <c r="G92" s="818"/>
      <c r="H92" s="818"/>
      <c r="I92" s="818"/>
      <c r="J92" s="818"/>
      <c r="K92" s="818"/>
      <c r="L92" s="818"/>
      <c r="M92" s="818"/>
      <c r="N92" s="818"/>
      <c r="O92" s="818"/>
      <c r="P92" s="806"/>
    </row>
    <row r="93" spans="1:16" s="816" customFormat="1" ht="12.75" outlineLevel="1">
      <c r="A93" s="167" t="s">
        <v>578</v>
      </c>
      <c r="B93" s="146" t="str">
        <f>VLOOKUP(A93,Справочники!$B:$F,4,FALSE)</f>
        <v>Прочие налоги и сборы</v>
      </c>
      <c r="C93" s="849"/>
      <c r="P93" s="806"/>
    </row>
    <row r="94" spans="1:16" s="799" customFormat="1" ht="13.5" customHeight="1" outlineLevel="1">
      <c r="A94" s="795"/>
      <c r="B94" s="796"/>
      <c r="C94" s="795"/>
      <c r="D94" s="841"/>
      <c r="E94" s="841"/>
      <c r="F94" s="841"/>
      <c r="G94" s="841"/>
      <c r="H94" s="841"/>
      <c r="I94" s="841"/>
      <c r="J94" s="841"/>
      <c r="K94" s="841"/>
      <c r="L94" s="841"/>
      <c r="M94" s="841"/>
      <c r="N94" s="841"/>
      <c r="O94" s="841"/>
      <c r="P94" s="842"/>
    </row>
    <row r="95" spans="1:16" s="816" customFormat="1" ht="12.75" outlineLevel="1">
      <c r="A95" s="816" t="s">
        <v>153</v>
      </c>
      <c r="C95" s="801"/>
      <c r="D95" s="802">
        <f aca="true" t="shared" si="39" ref="D95:O95">C99</f>
        <v>0</v>
      </c>
      <c r="E95" s="818">
        <f t="shared" si="39"/>
        <v>0</v>
      </c>
      <c r="F95" s="818">
        <f t="shared" si="39"/>
        <v>0</v>
      </c>
      <c r="G95" s="818">
        <f t="shared" si="39"/>
        <v>0</v>
      </c>
      <c r="H95" s="818">
        <f t="shared" si="39"/>
        <v>0</v>
      </c>
      <c r="I95" s="818">
        <f t="shared" si="39"/>
        <v>0</v>
      </c>
      <c r="J95" s="818">
        <f t="shared" si="39"/>
        <v>0</v>
      </c>
      <c r="K95" s="818">
        <f t="shared" si="39"/>
        <v>0</v>
      </c>
      <c r="L95" s="818">
        <f t="shared" si="39"/>
        <v>0</v>
      </c>
      <c r="M95" s="818">
        <f t="shared" si="39"/>
        <v>0</v>
      </c>
      <c r="N95" s="818">
        <f t="shared" si="39"/>
        <v>0</v>
      </c>
      <c r="O95" s="818">
        <f t="shared" si="39"/>
        <v>0</v>
      </c>
      <c r="P95" s="806">
        <f>D95</f>
        <v>0</v>
      </c>
    </row>
    <row r="96" spans="1:16" s="845" customFormat="1" ht="12.75" outlineLevel="1">
      <c r="A96" s="851"/>
      <c r="B96" s="146" t="s">
        <v>632</v>
      </c>
      <c r="C96" s="805"/>
      <c r="D96" s="986"/>
      <c r="E96" s="986"/>
      <c r="F96" s="986"/>
      <c r="G96" s="986"/>
      <c r="H96" s="986"/>
      <c r="I96" s="986"/>
      <c r="J96" s="986"/>
      <c r="K96" s="986"/>
      <c r="L96" s="986"/>
      <c r="M96" s="986"/>
      <c r="N96" s="986"/>
      <c r="O96" s="986"/>
      <c r="P96" s="806">
        <f>SUM(D96:O96)</f>
        <v>0</v>
      </c>
    </row>
    <row r="97" spans="1:16" s="816" customFormat="1" ht="12.75" outlineLevel="1">
      <c r="A97" s="846"/>
      <c r="B97" s="810"/>
      <c r="C97" s="808"/>
      <c r="D97" s="802"/>
      <c r="E97" s="802"/>
      <c r="F97" s="802"/>
      <c r="G97" s="802"/>
      <c r="H97" s="802"/>
      <c r="I97" s="802"/>
      <c r="J97" s="802"/>
      <c r="K97" s="802"/>
      <c r="L97" s="802"/>
      <c r="M97" s="802"/>
      <c r="N97" s="802"/>
      <c r="O97" s="802"/>
      <c r="P97" s="806">
        <f>SUM(D97:O97)</f>
        <v>0</v>
      </c>
    </row>
    <row r="98" spans="1:16" s="845" customFormat="1" ht="12.75" outlineLevel="1">
      <c r="A98" s="852"/>
      <c r="B98" s="804" t="s">
        <v>627</v>
      </c>
      <c r="D98" s="806">
        <f>D96</f>
        <v>0</v>
      </c>
      <c r="E98" s="806">
        <f aca="true" t="shared" si="40" ref="E98:O98">E96</f>
        <v>0</v>
      </c>
      <c r="F98" s="806">
        <f t="shared" si="40"/>
        <v>0</v>
      </c>
      <c r="G98" s="806">
        <f t="shared" si="40"/>
        <v>0</v>
      </c>
      <c r="H98" s="806">
        <f t="shared" si="40"/>
        <v>0</v>
      </c>
      <c r="I98" s="806">
        <f t="shared" si="40"/>
        <v>0</v>
      </c>
      <c r="J98" s="806">
        <f t="shared" si="40"/>
        <v>0</v>
      </c>
      <c r="K98" s="806">
        <f t="shared" si="40"/>
        <v>0</v>
      </c>
      <c r="L98" s="806">
        <f t="shared" si="40"/>
        <v>0</v>
      </c>
      <c r="M98" s="806">
        <f t="shared" si="40"/>
        <v>0</v>
      </c>
      <c r="N98" s="806">
        <f t="shared" si="40"/>
        <v>0</v>
      </c>
      <c r="O98" s="806">
        <f t="shared" si="40"/>
        <v>0</v>
      </c>
      <c r="P98" s="806">
        <f>SUM(D98:O98)</f>
        <v>0</v>
      </c>
    </row>
    <row r="99" spans="1:16" s="812" customFormat="1" ht="12.75" outlineLevel="1">
      <c r="A99" s="812" t="s">
        <v>154</v>
      </c>
      <c r="C99" s="823">
        <v>0</v>
      </c>
      <c r="D99" s="814">
        <f>D95+D96-D98</f>
        <v>0</v>
      </c>
      <c r="E99" s="814">
        <f aca="true" t="shared" si="41" ref="E99:O99">E95+E96-E98</f>
        <v>0</v>
      </c>
      <c r="F99" s="814">
        <f t="shared" si="41"/>
        <v>0</v>
      </c>
      <c r="G99" s="814">
        <f t="shared" si="41"/>
        <v>0</v>
      </c>
      <c r="H99" s="814">
        <f t="shared" si="41"/>
        <v>0</v>
      </c>
      <c r="I99" s="814">
        <f t="shared" si="41"/>
        <v>0</v>
      </c>
      <c r="J99" s="814">
        <f t="shared" si="41"/>
        <v>0</v>
      </c>
      <c r="K99" s="814">
        <f t="shared" si="41"/>
        <v>0</v>
      </c>
      <c r="L99" s="814">
        <f t="shared" si="41"/>
        <v>0</v>
      </c>
      <c r="M99" s="814">
        <f t="shared" si="41"/>
        <v>0</v>
      </c>
      <c r="N99" s="814">
        <f t="shared" si="41"/>
        <v>0</v>
      </c>
      <c r="O99" s="814">
        <f t="shared" si="41"/>
        <v>0</v>
      </c>
      <c r="P99" s="815">
        <f>O99</f>
        <v>0</v>
      </c>
    </row>
    <row r="100" spans="1:16" s="839" customFormat="1" ht="12.75" outlineLevel="1">
      <c r="A100" s="836"/>
      <c r="B100" s="838"/>
      <c r="C100" s="838"/>
      <c r="D100" s="853"/>
      <c r="E100" s="853"/>
      <c r="F100" s="853"/>
      <c r="G100" s="853"/>
      <c r="H100" s="853"/>
      <c r="I100" s="853"/>
      <c r="J100" s="853"/>
      <c r="K100" s="853"/>
      <c r="L100" s="853"/>
      <c r="M100" s="853"/>
      <c r="N100" s="853"/>
      <c r="O100" s="853"/>
      <c r="P100" s="854"/>
    </row>
    <row r="101" spans="1:16" s="839" customFormat="1" ht="12.75" outlineLevel="1">
      <c r="A101" s="836"/>
      <c r="B101" s="838"/>
      <c r="C101" s="838"/>
      <c r="D101" s="853"/>
      <c r="E101" s="853"/>
      <c r="F101" s="853"/>
      <c r="G101" s="853"/>
      <c r="H101" s="853"/>
      <c r="I101" s="853"/>
      <c r="J101" s="853"/>
      <c r="K101" s="853"/>
      <c r="L101" s="853"/>
      <c r="M101" s="853"/>
      <c r="N101" s="853"/>
      <c r="O101" s="853"/>
      <c r="P101" s="854"/>
    </row>
    <row r="102" spans="1:16" s="858" customFormat="1" ht="15.75" customHeight="1" outlineLevel="1">
      <c r="A102" s="167" t="s">
        <v>105</v>
      </c>
      <c r="B102" s="146" t="str">
        <f>VLOOKUP(A102,Справочники!$B:$F,4,FALSE)</f>
        <v>Налог на прибыль</v>
      </c>
      <c r="C102" s="855"/>
      <c r="D102" s="856"/>
      <c r="E102" s="856"/>
      <c r="F102" s="856"/>
      <c r="G102" s="856"/>
      <c r="H102" s="856"/>
      <c r="I102" s="856"/>
      <c r="J102" s="856"/>
      <c r="K102" s="856"/>
      <c r="L102" s="856"/>
      <c r="M102" s="856"/>
      <c r="N102" s="856"/>
      <c r="O102" s="856"/>
      <c r="P102" s="857"/>
    </row>
    <row r="103" spans="1:16" s="799" customFormat="1" ht="13.5" customHeight="1" outlineLevel="1">
      <c r="A103" s="795" t="s">
        <v>623</v>
      </c>
      <c r="B103" s="796" t="s">
        <v>390</v>
      </c>
      <c r="C103" s="795"/>
      <c r="D103" s="841">
        <f>'ОДР '!D105</f>
        <v>-38897.27685613127</v>
      </c>
      <c r="E103" s="841">
        <f>'ОДР '!E105</f>
        <v>59805.738433678845</v>
      </c>
      <c r="F103" s="841">
        <f>'ОДР '!F105</f>
        <v>5780.226226822115</v>
      </c>
      <c r="G103" s="841">
        <f>'ОДР '!G105</f>
        <v>-12916.797048894681</v>
      </c>
      <c r="H103" s="841">
        <f>'ОДР '!H105</f>
        <v>2302443.786620016</v>
      </c>
      <c r="I103" s="841">
        <f>'ОДР '!I105</f>
        <v>8477576.35795189</v>
      </c>
      <c r="J103" s="841">
        <f>'ОДР '!J105</f>
        <v>16172721.489297895</v>
      </c>
      <c r="K103" s="841">
        <f>'ОДР '!K105</f>
        <v>-1346363.7190609102</v>
      </c>
      <c r="L103" s="841">
        <f>'ОДР '!L105</f>
        <v>-147120.78077988204</v>
      </c>
      <c r="M103" s="841">
        <f>'ОДР '!M105</f>
        <v>-151409.94518246976</v>
      </c>
      <c r="N103" s="841">
        <f>'ОДР '!N105</f>
        <v>-150546.56721217616</v>
      </c>
      <c r="O103" s="841">
        <f>'ОДР '!O105</f>
        <v>-149683.18924188256</v>
      </c>
      <c r="P103" s="841">
        <f>'ОДР '!P105</f>
        <v>0</v>
      </c>
    </row>
    <row r="104" spans="4:16" s="845" customFormat="1" ht="12.75" outlineLevel="1">
      <c r="D104" s="824"/>
      <c r="E104" s="824"/>
      <c r="F104" s="824"/>
      <c r="G104" s="824"/>
      <c r="H104" s="824"/>
      <c r="I104" s="824"/>
      <c r="J104" s="824"/>
      <c r="K104" s="824"/>
      <c r="L104" s="824"/>
      <c r="M104" s="824"/>
      <c r="N104" s="824"/>
      <c r="O104" s="824"/>
      <c r="P104" s="806"/>
    </row>
    <row r="105" spans="2:16" s="816" customFormat="1" ht="12.75" outlineLevel="1">
      <c r="B105" s="859" t="s">
        <v>636</v>
      </c>
      <c r="D105" s="818"/>
      <c r="E105" s="818"/>
      <c r="F105" s="818"/>
      <c r="G105" s="818"/>
      <c r="H105" s="818"/>
      <c r="I105" s="818"/>
      <c r="J105" s="818"/>
      <c r="K105" s="818"/>
      <c r="L105" s="818"/>
      <c r="M105" s="818"/>
      <c r="N105" s="818"/>
      <c r="O105" s="818"/>
      <c r="P105" s="806"/>
    </row>
    <row r="106" spans="2:16" s="816" customFormat="1" ht="12.75" outlineLevel="2">
      <c r="B106" s="816" t="s">
        <v>637</v>
      </c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06"/>
    </row>
    <row r="107" spans="2:16" s="816" customFormat="1" ht="12.75" outlineLevel="2">
      <c r="B107" s="816" t="s">
        <v>638</v>
      </c>
      <c r="D107" s="860"/>
      <c r="E107" s="860"/>
      <c r="F107" s="860"/>
      <c r="G107" s="860"/>
      <c r="H107" s="860"/>
      <c r="I107" s="860"/>
      <c r="J107" s="860"/>
      <c r="K107" s="860"/>
      <c r="L107" s="860"/>
      <c r="M107" s="860"/>
      <c r="N107" s="860"/>
      <c r="O107" s="860"/>
      <c r="P107" s="806">
        <f aca="true" t="shared" si="42" ref="P107:P113">SUM(D107:O107)</f>
        <v>0</v>
      </c>
    </row>
    <row r="108" spans="2:16" s="816" customFormat="1" ht="12.75" outlineLevel="2">
      <c r="B108" s="816" t="s">
        <v>639</v>
      </c>
      <c r="D108" s="860"/>
      <c r="E108" s="860"/>
      <c r="F108" s="860"/>
      <c r="G108" s="860"/>
      <c r="H108" s="860"/>
      <c r="I108" s="860"/>
      <c r="J108" s="860"/>
      <c r="K108" s="860"/>
      <c r="L108" s="860"/>
      <c r="M108" s="860"/>
      <c r="N108" s="860"/>
      <c r="O108" s="860"/>
      <c r="P108" s="806">
        <f t="shared" si="42"/>
        <v>0</v>
      </c>
    </row>
    <row r="109" spans="2:16" s="816" customFormat="1" ht="12.75" outlineLevel="2">
      <c r="B109" s="816" t="s">
        <v>640</v>
      </c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06">
        <f t="shared" si="42"/>
        <v>0</v>
      </c>
    </row>
    <row r="110" spans="2:16" s="816" customFormat="1" ht="12.75" outlineLevel="2">
      <c r="B110" s="816" t="s">
        <v>641</v>
      </c>
      <c r="D110" s="860"/>
      <c r="E110" s="860"/>
      <c r="F110" s="860"/>
      <c r="G110" s="860"/>
      <c r="H110" s="860"/>
      <c r="I110" s="860"/>
      <c r="J110" s="860"/>
      <c r="K110" s="860"/>
      <c r="L110" s="860"/>
      <c r="M110" s="860"/>
      <c r="N110" s="860"/>
      <c r="O110" s="860"/>
      <c r="P110" s="806">
        <f t="shared" si="42"/>
        <v>0</v>
      </c>
    </row>
    <row r="111" spans="2:16" s="816" customFormat="1" ht="12.75" outlineLevel="2">
      <c r="B111" s="816" t="s">
        <v>642</v>
      </c>
      <c r="D111" s="860"/>
      <c r="E111" s="860"/>
      <c r="F111" s="860"/>
      <c r="G111" s="860"/>
      <c r="H111" s="860"/>
      <c r="I111" s="860"/>
      <c r="J111" s="860"/>
      <c r="K111" s="860"/>
      <c r="L111" s="860"/>
      <c r="M111" s="860"/>
      <c r="N111" s="860"/>
      <c r="O111" s="860"/>
      <c r="P111" s="806">
        <f t="shared" si="42"/>
        <v>0</v>
      </c>
    </row>
    <row r="112" spans="2:16" s="816" customFormat="1" ht="12.75" outlineLevel="2">
      <c r="B112" s="816" t="s">
        <v>643</v>
      </c>
      <c r="D112" s="860"/>
      <c r="E112" s="860"/>
      <c r="F112" s="860"/>
      <c r="G112" s="860"/>
      <c r="H112" s="860"/>
      <c r="I112" s="860"/>
      <c r="J112" s="860"/>
      <c r="K112" s="860"/>
      <c r="L112" s="860"/>
      <c r="M112" s="860"/>
      <c r="N112" s="860"/>
      <c r="O112" s="860"/>
      <c r="P112" s="806">
        <f t="shared" si="42"/>
        <v>0</v>
      </c>
    </row>
    <row r="113" spans="2:16" s="816" customFormat="1" ht="12.75" outlineLevel="1">
      <c r="B113" s="861" t="s">
        <v>644</v>
      </c>
      <c r="D113" s="862">
        <f>SUM(D106:D112)</f>
        <v>0</v>
      </c>
      <c r="E113" s="862">
        <f aca="true" t="shared" si="43" ref="E113:O113">SUM(E106:E112)</f>
        <v>0</v>
      </c>
      <c r="F113" s="862">
        <f t="shared" si="43"/>
        <v>0</v>
      </c>
      <c r="G113" s="862">
        <f t="shared" si="43"/>
        <v>0</v>
      </c>
      <c r="H113" s="862">
        <f t="shared" si="43"/>
        <v>0</v>
      </c>
      <c r="I113" s="862">
        <f t="shared" si="43"/>
        <v>0</v>
      </c>
      <c r="J113" s="862">
        <f t="shared" si="43"/>
        <v>0</v>
      </c>
      <c r="K113" s="862">
        <f t="shared" si="43"/>
        <v>0</v>
      </c>
      <c r="L113" s="862">
        <f t="shared" si="43"/>
        <v>0</v>
      </c>
      <c r="M113" s="862">
        <f t="shared" si="43"/>
        <v>0</v>
      </c>
      <c r="N113" s="862">
        <f t="shared" si="43"/>
        <v>0</v>
      </c>
      <c r="O113" s="862">
        <f t="shared" si="43"/>
        <v>0</v>
      </c>
      <c r="P113" s="806">
        <f t="shared" si="42"/>
        <v>0</v>
      </c>
    </row>
    <row r="114" spans="2:16" s="816" customFormat="1" ht="12.75" outlineLevel="1">
      <c r="B114" s="859" t="s">
        <v>645</v>
      </c>
      <c r="D114" s="818"/>
      <c r="E114" s="818"/>
      <c r="F114" s="818"/>
      <c r="G114" s="818"/>
      <c r="H114" s="818"/>
      <c r="I114" s="818"/>
      <c r="J114" s="818"/>
      <c r="K114" s="818"/>
      <c r="L114" s="818"/>
      <c r="M114" s="818"/>
      <c r="N114" s="818"/>
      <c r="O114" s="818"/>
      <c r="P114" s="806"/>
    </row>
    <row r="115" spans="1:16" s="816" customFormat="1" ht="12.75" outlineLevel="2">
      <c r="A115" s="859"/>
      <c r="B115" s="818" t="s">
        <v>646</v>
      </c>
      <c r="D115" s="860"/>
      <c r="E115" s="860"/>
      <c r="F115" s="860"/>
      <c r="G115" s="860"/>
      <c r="H115" s="860"/>
      <c r="I115" s="860"/>
      <c r="J115" s="860"/>
      <c r="K115" s="860"/>
      <c r="L115" s="860"/>
      <c r="M115" s="860"/>
      <c r="N115" s="860"/>
      <c r="O115" s="860"/>
      <c r="P115" s="806">
        <f>SUM(D115:O115)</f>
        <v>0</v>
      </c>
    </row>
    <row r="116" spans="1:16" s="816" customFormat="1" ht="12.75" outlineLevel="2">
      <c r="A116" s="859"/>
      <c r="B116" s="818" t="s">
        <v>647</v>
      </c>
      <c r="D116" s="860"/>
      <c r="E116" s="860"/>
      <c r="F116" s="860"/>
      <c r="G116" s="860"/>
      <c r="H116" s="860"/>
      <c r="I116" s="860"/>
      <c r="J116" s="860"/>
      <c r="K116" s="860"/>
      <c r="L116" s="860"/>
      <c r="M116" s="860"/>
      <c r="N116" s="860"/>
      <c r="O116" s="860"/>
      <c r="P116" s="806">
        <f>SUM(D116:O116)</f>
        <v>0</v>
      </c>
    </row>
    <row r="117" spans="1:16" s="816" customFormat="1" ht="12.75" outlineLevel="2">
      <c r="A117" s="859"/>
      <c r="B117" s="818" t="s">
        <v>648</v>
      </c>
      <c r="D117" s="860"/>
      <c r="E117" s="860"/>
      <c r="F117" s="860"/>
      <c r="G117" s="860"/>
      <c r="H117" s="860"/>
      <c r="I117" s="860"/>
      <c r="J117" s="860"/>
      <c r="K117" s="860"/>
      <c r="L117" s="860"/>
      <c r="M117" s="860"/>
      <c r="N117" s="860"/>
      <c r="O117" s="860"/>
      <c r="P117" s="806">
        <f>SUM(D117:O117)</f>
        <v>0</v>
      </c>
    </row>
    <row r="118" spans="1:16" s="816" customFormat="1" ht="12.75" outlineLevel="1">
      <c r="A118" s="859"/>
      <c r="B118" s="861" t="s">
        <v>649</v>
      </c>
      <c r="D118" s="862">
        <f aca="true" t="shared" si="44" ref="D118:O118">SUM(D115:D117)</f>
        <v>0</v>
      </c>
      <c r="E118" s="862">
        <f t="shared" si="44"/>
        <v>0</v>
      </c>
      <c r="F118" s="862">
        <f t="shared" si="44"/>
        <v>0</v>
      </c>
      <c r="G118" s="862">
        <f t="shared" si="44"/>
        <v>0</v>
      </c>
      <c r="H118" s="862">
        <f t="shared" si="44"/>
        <v>0</v>
      </c>
      <c r="I118" s="862">
        <f t="shared" si="44"/>
        <v>0</v>
      </c>
      <c r="J118" s="862">
        <f t="shared" si="44"/>
        <v>0</v>
      </c>
      <c r="K118" s="862">
        <f t="shared" si="44"/>
        <v>0</v>
      </c>
      <c r="L118" s="862">
        <f t="shared" si="44"/>
        <v>0</v>
      </c>
      <c r="M118" s="862">
        <f t="shared" si="44"/>
        <v>0</v>
      </c>
      <c r="N118" s="862">
        <f t="shared" si="44"/>
        <v>0</v>
      </c>
      <c r="O118" s="862">
        <f t="shared" si="44"/>
        <v>0</v>
      </c>
      <c r="P118" s="863">
        <f>SUM(D118:O118)</f>
        <v>0</v>
      </c>
    </row>
    <row r="119" spans="1:16" s="816" customFormat="1" ht="12.75" outlineLevel="1">
      <c r="A119" s="845" t="s">
        <v>650</v>
      </c>
      <c r="B119" s="848"/>
      <c r="D119" s="824">
        <f aca="true" t="shared" si="45" ref="D119:P119">D103+D113-D118</f>
        <v>-38897.27685613127</v>
      </c>
      <c r="E119" s="824">
        <f t="shared" si="45"/>
        <v>59805.738433678845</v>
      </c>
      <c r="F119" s="824">
        <f t="shared" si="45"/>
        <v>5780.226226822115</v>
      </c>
      <c r="G119" s="824">
        <f t="shared" si="45"/>
        <v>-12916.797048894681</v>
      </c>
      <c r="H119" s="824">
        <f t="shared" si="45"/>
        <v>2302443.786620016</v>
      </c>
      <c r="I119" s="824">
        <f t="shared" si="45"/>
        <v>8477576.35795189</v>
      </c>
      <c r="J119" s="824">
        <f t="shared" si="45"/>
        <v>16172721.489297895</v>
      </c>
      <c r="K119" s="824">
        <f t="shared" si="45"/>
        <v>-1346363.7190609102</v>
      </c>
      <c r="L119" s="824">
        <f t="shared" si="45"/>
        <v>-147120.78077988204</v>
      </c>
      <c r="M119" s="824">
        <f t="shared" si="45"/>
        <v>-151409.94518246976</v>
      </c>
      <c r="N119" s="824">
        <f t="shared" si="45"/>
        <v>-150546.56721217616</v>
      </c>
      <c r="O119" s="824">
        <f t="shared" si="45"/>
        <v>-149683.18924188256</v>
      </c>
      <c r="P119" s="824">
        <f t="shared" si="45"/>
        <v>0</v>
      </c>
    </row>
    <row r="120" spans="1:16" s="816" customFormat="1" ht="12.75" outlineLevel="1">
      <c r="A120" s="816" t="s">
        <v>651</v>
      </c>
      <c r="B120" s="848"/>
      <c r="D120" s="818">
        <f>D119</f>
        <v>-38897.27685613127</v>
      </c>
      <c r="E120" s="818">
        <f aca="true" t="shared" si="46" ref="E120:O120">D120+E119</f>
        <v>20908.461577547576</v>
      </c>
      <c r="F120" s="818">
        <f t="shared" si="46"/>
        <v>26688.687804369692</v>
      </c>
      <c r="G120" s="818">
        <f t="shared" si="46"/>
        <v>13771.890755475011</v>
      </c>
      <c r="H120" s="818">
        <f t="shared" si="46"/>
        <v>2316215.6773754912</v>
      </c>
      <c r="I120" s="818">
        <f t="shared" si="46"/>
        <v>10793792.035327382</v>
      </c>
      <c r="J120" s="818">
        <f t="shared" si="46"/>
        <v>26966513.52462528</v>
      </c>
      <c r="K120" s="818">
        <f t="shared" si="46"/>
        <v>25620149.80556437</v>
      </c>
      <c r="L120" s="818">
        <f t="shared" si="46"/>
        <v>25473029.024784487</v>
      </c>
      <c r="M120" s="818">
        <f t="shared" si="46"/>
        <v>25321619.079602018</v>
      </c>
      <c r="N120" s="818">
        <f t="shared" si="46"/>
        <v>25171072.512389842</v>
      </c>
      <c r="O120" s="818">
        <f t="shared" si="46"/>
        <v>25021389.32314796</v>
      </c>
      <c r="P120" s="806"/>
    </row>
    <row r="121" spans="2:16" s="816" customFormat="1" ht="12.75" outlineLevel="1">
      <c r="B121" s="848"/>
      <c r="D121" s="818"/>
      <c r="E121" s="818"/>
      <c r="F121" s="818"/>
      <c r="G121" s="818"/>
      <c r="H121" s="818"/>
      <c r="I121" s="818"/>
      <c r="J121" s="818"/>
      <c r="K121" s="818"/>
      <c r="L121" s="818"/>
      <c r="M121" s="818"/>
      <c r="N121" s="818"/>
      <c r="O121" s="818"/>
      <c r="P121" s="806"/>
    </row>
    <row r="122" spans="1:16" s="816" customFormat="1" ht="12.75" outlineLevel="1">
      <c r="A122" s="864" t="s">
        <v>652</v>
      </c>
      <c r="B122" s="865"/>
      <c r="C122" s="864"/>
      <c r="D122" s="866">
        <f>D123</f>
        <v>0</v>
      </c>
      <c r="E122" s="866">
        <f>IF(E123&gt;0,E123-D123,0)</f>
        <v>5018.030778611418</v>
      </c>
      <c r="F122" s="866">
        <f aca="true" t="shared" si="47" ref="F122:O122">IF(F123&gt;0,F123-E123,0)</f>
        <v>1387.254294437308</v>
      </c>
      <c r="G122" s="866">
        <f t="shared" si="47"/>
        <v>-3100.0312917347237</v>
      </c>
      <c r="H122" s="866">
        <f t="shared" si="47"/>
        <v>552586.5087888038</v>
      </c>
      <c r="I122" s="866">
        <f t="shared" si="47"/>
        <v>2034618.325908454</v>
      </c>
      <c r="J122" s="866">
        <f t="shared" si="47"/>
        <v>3881453.1574314954</v>
      </c>
      <c r="K122" s="866">
        <f t="shared" si="47"/>
        <v>-323127.29257461894</v>
      </c>
      <c r="L122" s="866">
        <f t="shared" si="47"/>
        <v>-35308.98738717195</v>
      </c>
      <c r="M122" s="866">
        <f t="shared" si="47"/>
        <v>-36338.38684379216</v>
      </c>
      <c r="N122" s="866">
        <f t="shared" si="47"/>
        <v>-36131.17613092251</v>
      </c>
      <c r="O122" s="866">
        <f t="shared" si="47"/>
        <v>-35923.965418051</v>
      </c>
      <c r="P122" s="866">
        <f>SUM(D122:O122)</f>
        <v>6005133.437555511</v>
      </c>
    </row>
    <row r="123" spans="1:16" s="816" customFormat="1" ht="12.75" outlineLevel="1">
      <c r="A123" s="816" t="s">
        <v>651</v>
      </c>
      <c r="B123" s="848"/>
      <c r="D123" s="818">
        <f>IF(D120&gt;0,D120*Параметры!D37,0)</f>
        <v>0</v>
      </c>
      <c r="E123" s="818">
        <f>IF(E120&gt;0,E120*Параметры!E37,0)</f>
        <v>5018.030778611418</v>
      </c>
      <c r="F123" s="818">
        <f>IF(F120&gt;0,F120*Параметры!F37,0)</f>
        <v>6405.285073048726</v>
      </c>
      <c r="G123" s="818">
        <f>IF(G120&gt;0,G120*Параметры!G37,0)</f>
        <v>3305.2537813140025</v>
      </c>
      <c r="H123" s="818">
        <f>IF(H120&gt;0,H120*Параметры!H37,0)</f>
        <v>555891.7625701178</v>
      </c>
      <c r="I123" s="818">
        <f>IF(I120&gt;0,I120*Параметры!I37,0)</f>
        <v>2590510.0884785717</v>
      </c>
      <c r="J123" s="818">
        <f>IF(J120&gt;0,J120*Параметры!J37,0)</f>
        <v>6471963.245910067</v>
      </c>
      <c r="K123" s="818">
        <f>IF(K120&gt;0,K120*Параметры!K37,0)</f>
        <v>6148835.953335448</v>
      </c>
      <c r="L123" s="818">
        <f>IF(L120&gt;0,L120*Параметры!L37,0)</f>
        <v>6113526.965948276</v>
      </c>
      <c r="M123" s="818">
        <f>IF(M120&gt;0,M120*Параметры!M37,0)</f>
        <v>6077188.579104484</v>
      </c>
      <c r="N123" s="818">
        <f>IF(N120&gt;0,N120*Параметры!N37,0)</f>
        <v>6041057.402973562</v>
      </c>
      <c r="O123" s="818">
        <f>IF(O120&gt;0,O120*Параметры!O37,0)</f>
        <v>6005133.437555511</v>
      </c>
      <c r="P123" s="824"/>
    </row>
    <row r="124" spans="2:16" s="816" customFormat="1" ht="12.75" outlineLevel="1">
      <c r="B124" s="848"/>
      <c r="D124" s="818"/>
      <c r="E124" s="818"/>
      <c r="F124" s="818"/>
      <c r="G124" s="818"/>
      <c r="H124" s="818"/>
      <c r="I124" s="818"/>
      <c r="J124" s="818"/>
      <c r="K124" s="818"/>
      <c r="L124" s="818"/>
      <c r="M124" s="818"/>
      <c r="N124" s="818"/>
      <c r="O124" s="818"/>
      <c r="P124" s="806"/>
    </row>
    <row r="125" spans="1:16" s="816" customFormat="1" ht="12.75" outlineLevel="1">
      <c r="A125" s="845" t="s">
        <v>653</v>
      </c>
      <c r="B125" s="848"/>
      <c r="D125" s="818"/>
      <c r="E125" s="818"/>
      <c r="F125" s="818"/>
      <c r="G125" s="818"/>
      <c r="H125" s="818"/>
      <c r="I125" s="818"/>
      <c r="J125" s="818"/>
      <c r="K125" s="818"/>
      <c r="L125" s="818"/>
      <c r="M125" s="818"/>
      <c r="N125" s="818"/>
      <c r="O125" s="818"/>
      <c r="P125" s="806"/>
    </row>
    <row r="126" spans="1:16" s="816" customFormat="1" ht="12.75" outlineLevel="1">
      <c r="A126" s="816" t="s">
        <v>153</v>
      </c>
      <c r="D126" s="818">
        <f>C130</f>
        <v>0</v>
      </c>
      <c r="E126" s="818">
        <f aca="true" t="shared" si="48" ref="E126:O126">D130</f>
        <v>0</v>
      </c>
      <c r="F126" s="818">
        <f t="shared" si="48"/>
        <v>0</v>
      </c>
      <c r="G126" s="818">
        <f t="shared" si="48"/>
        <v>0</v>
      </c>
      <c r="H126" s="818">
        <f t="shared" si="48"/>
        <v>0</v>
      </c>
      <c r="I126" s="818">
        <f t="shared" si="48"/>
        <v>0</v>
      </c>
      <c r="J126" s="818">
        <f t="shared" si="48"/>
        <v>0</v>
      </c>
      <c r="K126" s="818">
        <f t="shared" si="48"/>
        <v>0</v>
      </c>
      <c r="L126" s="818">
        <f t="shared" si="48"/>
        <v>0</v>
      </c>
      <c r="M126" s="818">
        <f t="shared" si="48"/>
        <v>0</v>
      </c>
      <c r="N126" s="818">
        <f t="shared" si="48"/>
        <v>0</v>
      </c>
      <c r="O126" s="818">
        <f t="shared" si="48"/>
        <v>0</v>
      </c>
      <c r="P126" s="806">
        <f>D126</f>
        <v>0</v>
      </c>
    </row>
    <row r="127" spans="2:16" s="845" customFormat="1" ht="13.5" customHeight="1" outlineLevel="1">
      <c r="B127" s="804" t="s">
        <v>632</v>
      </c>
      <c r="C127" s="805"/>
      <c r="D127" s="824">
        <f aca="true" t="shared" si="49" ref="D127:O127">D122</f>
        <v>0</v>
      </c>
      <c r="E127" s="824">
        <f t="shared" si="49"/>
        <v>5018.030778611418</v>
      </c>
      <c r="F127" s="824">
        <f t="shared" si="49"/>
        <v>1387.254294437308</v>
      </c>
      <c r="G127" s="824">
        <f t="shared" si="49"/>
        <v>-3100.0312917347237</v>
      </c>
      <c r="H127" s="824">
        <f t="shared" si="49"/>
        <v>552586.5087888038</v>
      </c>
      <c r="I127" s="824">
        <f t="shared" si="49"/>
        <v>2034618.325908454</v>
      </c>
      <c r="J127" s="824">
        <f t="shared" si="49"/>
        <v>3881453.1574314954</v>
      </c>
      <c r="K127" s="824">
        <f t="shared" si="49"/>
        <v>-323127.29257461894</v>
      </c>
      <c r="L127" s="824">
        <f t="shared" si="49"/>
        <v>-35308.98738717195</v>
      </c>
      <c r="M127" s="824">
        <f t="shared" si="49"/>
        <v>-36338.38684379216</v>
      </c>
      <c r="N127" s="824">
        <f t="shared" si="49"/>
        <v>-36131.17613092251</v>
      </c>
      <c r="O127" s="824">
        <f t="shared" si="49"/>
        <v>-35923.965418051</v>
      </c>
      <c r="P127" s="806">
        <f>SUM(D127:O127)</f>
        <v>6005133.437555511</v>
      </c>
    </row>
    <row r="128" spans="1:16" s="816" customFormat="1" ht="13.5" customHeight="1" outlineLevel="1">
      <c r="A128" s="846"/>
      <c r="B128" s="810" t="s">
        <v>626</v>
      </c>
      <c r="C128" s="808"/>
      <c r="D128" s="818"/>
      <c r="E128" s="818"/>
      <c r="F128" s="818"/>
      <c r="G128" s="818"/>
      <c r="H128" s="818"/>
      <c r="I128" s="818"/>
      <c r="J128" s="818"/>
      <c r="K128" s="818"/>
      <c r="L128" s="818"/>
      <c r="M128" s="818"/>
      <c r="N128" s="818"/>
      <c r="O128" s="818"/>
      <c r="P128" s="806">
        <f>SUM(D128:O128)</f>
        <v>0</v>
      </c>
    </row>
    <row r="129" spans="1:16" s="845" customFormat="1" ht="12.75" outlineLevel="1">
      <c r="A129" s="852"/>
      <c r="B129" s="804" t="s">
        <v>627</v>
      </c>
      <c r="D129" s="867">
        <f>D122</f>
        <v>0</v>
      </c>
      <c r="E129" s="867">
        <f>E122</f>
        <v>5018.030778611418</v>
      </c>
      <c r="F129" s="867">
        <f>F122</f>
        <v>1387.254294437308</v>
      </c>
      <c r="G129" s="867">
        <f aca="true" t="shared" si="50" ref="G129:O129">G122</f>
        <v>-3100.0312917347237</v>
      </c>
      <c r="H129" s="867">
        <f t="shared" si="50"/>
        <v>552586.5087888038</v>
      </c>
      <c r="I129" s="867">
        <f t="shared" si="50"/>
        <v>2034618.325908454</v>
      </c>
      <c r="J129" s="867">
        <f t="shared" si="50"/>
        <v>3881453.1574314954</v>
      </c>
      <c r="K129" s="867">
        <f t="shared" si="50"/>
        <v>-323127.29257461894</v>
      </c>
      <c r="L129" s="867">
        <f t="shared" si="50"/>
        <v>-35308.98738717195</v>
      </c>
      <c r="M129" s="867">
        <f t="shared" si="50"/>
        <v>-36338.38684379216</v>
      </c>
      <c r="N129" s="867">
        <f t="shared" si="50"/>
        <v>-36131.17613092251</v>
      </c>
      <c r="O129" s="867">
        <f t="shared" si="50"/>
        <v>-35923.965418051</v>
      </c>
      <c r="P129" s="806">
        <f>SUM(D129:O129)</f>
        <v>6005133.437555511</v>
      </c>
    </row>
    <row r="130" spans="1:16" s="812" customFormat="1" ht="12.75" outlineLevel="1">
      <c r="A130" s="812" t="s">
        <v>154</v>
      </c>
      <c r="C130" s="823">
        <v>0</v>
      </c>
      <c r="D130" s="814">
        <f aca="true" t="shared" si="51" ref="D130:O130">D126+D127-D129+D128</f>
        <v>0</v>
      </c>
      <c r="E130" s="814">
        <f>E126+E127-E129+E128</f>
        <v>0</v>
      </c>
      <c r="F130" s="814">
        <f t="shared" si="51"/>
        <v>0</v>
      </c>
      <c r="G130" s="814">
        <f t="shared" si="51"/>
        <v>0</v>
      </c>
      <c r="H130" s="814">
        <f t="shared" si="51"/>
        <v>0</v>
      </c>
      <c r="I130" s="814">
        <f t="shared" si="51"/>
        <v>0</v>
      </c>
      <c r="J130" s="814">
        <f t="shared" si="51"/>
        <v>0</v>
      </c>
      <c r="K130" s="814">
        <f t="shared" si="51"/>
        <v>0</v>
      </c>
      <c r="L130" s="814">
        <f t="shared" si="51"/>
        <v>0</v>
      </c>
      <c r="M130" s="814">
        <f t="shared" si="51"/>
        <v>0</v>
      </c>
      <c r="N130" s="814">
        <f t="shared" si="51"/>
        <v>0</v>
      </c>
      <c r="O130" s="814">
        <f t="shared" si="51"/>
        <v>0</v>
      </c>
      <c r="P130" s="815">
        <f>O130</f>
        <v>0</v>
      </c>
    </row>
    <row r="131" spans="1:16" s="816" customFormat="1" ht="12.75" outlineLevel="1">
      <c r="A131" s="848"/>
      <c r="D131" s="820"/>
      <c r="E131" s="818"/>
      <c r="F131" s="818"/>
      <c r="G131" s="818"/>
      <c r="H131" s="818"/>
      <c r="I131" s="818"/>
      <c r="J131" s="818"/>
      <c r="K131" s="818"/>
      <c r="L131" s="818"/>
      <c r="M131" s="818"/>
      <c r="N131" s="818"/>
      <c r="O131" s="818"/>
      <c r="P131" s="806"/>
    </row>
    <row r="132" spans="1:16" ht="12.75">
      <c r="A132" s="836"/>
      <c r="B132" s="836"/>
      <c r="E132" s="868"/>
      <c r="F132" s="839"/>
      <c r="G132" s="839"/>
      <c r="H132" s="839"/>
      <c r="I132" s="839"/>
      <c r="J132" s="839"/>
      <c r="K132" s="839"/>
      <c r="L132" s="839"/>
      <c r="M132" s="839"/>
      <c r="N132" s="839"/>
      <c r="O132" s="839"/>
      <c r="P132" s="869"/>
    </row>
    <row r="133" spans="1:16" s="839" customFormat="1" ht="12.75">
      <c r="A133" s="836"/>
      <c r="B133" s="836"/>
      <c r="C133" s="838"/>
      <c r="E133" s="868"/>
      <c r="P133" s="869"/>
    </row>
    <row r="134" spans="1:16" s="839" customFormat="1" ht="12.75">
      <c r="A134" s="836"/>
      <c r="B134" s="836"/>
      <c r="C134" s="838"/>
      <c r="E134" s="868"/>
      <c r="P134" s="869"/>
    </row>
    <row r="135" spans="1:16" s="839" customFormat="1" ht="12.75">
      <c r="A135" s="836"/>
      <c r="B135" s="836"/>
      <c r="C135" s="838"/>
      <c r="E135" s="868"/>
      <c r="P135" s="869"/>
    </row>
    <row r="136" spans="1:16" s="839" customFormat="1" ht="12.75">
      <c r="A136" s="836"/>
      <c r="B136" s="836"/>
      <c r="C136" s="838"/>
      <c r="E136" s="868"/>
      <c r="P136" s="869"/>
    </row>
    <row r="137" spans="1:16" s="839" customFormat="1" ht="12.75">
      <c r="A137" s="836"/>
      <c r="B137" s="836"/>
      <c r="C137" s="838"/>
      <c r="E137" s="868"/>
      <c r="P137" s="869"/>
    </row>
    <row r="138" spans="1:16" s="839" customFormat="1" ht="12.75">
      <c r="A138" s="836"/>
      <c r="B138" s="836"/>
      <c r="C138" s="838"/>
      <c r="E138" s="868"/>
      <c r="P138" s="869"/>
    </row>
    <row r="139" spans="1:16" s="839" customFormat="1" ht="12.75">
      <c r="A139" s="836"/>
      <c r="B139" s="836"/>
      <c r="C139" s="838"/>
      <c r="E139" s="868"/>
      <c r="P139" s="869"/>
    </row>
    <row r="140" spans="1:16" s="839" customFormat="1" ht="12.75">
      <c r="A140" s="836"/>
      <c r="B140" s="836"/>
      <c r="C140" s="838"/>
      <c r="E140" s="868"/>
      <c r="P140" s="869"/>
    </row>
    <row r="141" spans="1:16" s="839" customFormat="1" ht="12.75">
      <c r="A141" s="836"/>
      <c r="B141" s="836"/>
      <c r="C141" s="838"/>
      <c r="E141" s="868"/>
      <c r="P141" s="869"/>
    </row>
    <row r="142" spans="1:16" s="839" customFormat="1" ht="12.75">
      <c r="A142" s="836"/>
      <c r="B142" s="836"/>
      <c r="C142" s="838"/>
      <c r="E142" s="868"/>
      <c r="P142" s="869"/>
    </row>
    <row r="143" spans="1:16" s="839" customFormat="1" ht="12.75">
      <c r="A143" s="836"/>
      <c r="B143" s="836"/>
      <c r="C143" s="838"/>
      <c r="E143" s="868"/>
      <c r="P143" s="869"/>
    </row>
    <row r="144" spans="1:16" s="839" customFormat="1" ht="12.75">
      <c r="A144" s="836"/>
      <c r="B144" s="836"/>
      <c r="C144" s="838"/>
      <c r="E144" s="868"/>
      <c r="P144" s="869"/>
    </row>
    <row r="145" spans="1:16" s="839" customFormat="1" ht="12.75">
      <c r="A145" s="836"/>
      <c r="B145" s="836"/>
      <c r="C145" s="838"/>
      <c r="E145" s="868"/>
      <c r="P145" s="869"/>
    </row>
    <row r="146" spans="1:16" s="839" customFormat="1" ht="12.75">
      <c r="A146" s="836"/>
      <c r="B146" s="836"/>
      <c r="C146" s="838"/>
      <c r="E146" s="868"/>
      <c r="P146" s="869"/>
    </row>
    <row r="147" spans="1:16" s="839" customFormat="1" ht="12.75">
      <c r="A147" s="836"/>
      <c r="B147" s="836"/>
      <c r="C147" s="838"/>
      <c r="E147" s="868"/>
      <c r="P147" s="869"/>
    </row>
    <row r="148" spans="1:16" s="839" customFormat="1" ht="12.75">
      <c r="A148" s="836"/>
      <c r="B148" s="836"/>
      <c r="C148" s="838"/>
      <c r="E148" s="868"/>
      <c r="P148" s="869"/>
    </row>
    <row r="149" spans="1:16" s="839" customFormat="1" ht="12.75">
      <c r="A149" s="836"/>
      <c r="B149" s="836"/>
      <c r="C149" s="838"/>
      <c r="E149" s="868"/>
      <c r="P149" s="869"/>
    </row>
    <row r="150" spans="1:16" s="839" customFormat="1" ht="12.75">
      <c r="A150" s="836"/>
      <c r="B150" s="836"/>
      <c r="C150" s="838"/>
      <c r="E150" s="868"/>
      <c r="P150" s="869"/>
    </row>
    <row r="151" spans="1:16" s="839" customFormat="1" ht="12.75">
      <c r="A151" s="836"/>
      <c r="B151" s="836"/>
      <c r="C151" s="838"/>
      <c r="E151" s="868"/>
      <c r="P151" s="869"/>
    </row>
    <row r="152" spans="1:16" s="839" customFormat="1" ht="12.75">
      <c r="A152" s="836"/>
      <c r="B152" s="836"/>
      <c r="C152" s="838"/>
      <c r="E152" s="868"/>
      <c r="P152" s="869"/>
    </row>
    <row r="153" spans="1:16" s="839" customFormat="1" ht="12.75">
      <c r="A153" s="836"/>
      <c r="B153" s="836"/>
      <c r="C153" s="838"/>
      <c r="E153" s="868"/>
      <c r="P153" s="869"/>
    </row>
    <row r="154" spans="1:16" s="839" customFormat="1" ht="12.75">
      <c r="A154" s="836"/>
      <c r="B154" s="836"/>
      <c r="C154" s="838"/>
      <c r="E154" s="868"/>
      <c r="P154" s="869"/>
    </row>
    <row r="155" spans="1:16" s="839" customFormat="1" ht="12.75">
      <c r="A155" s="836"/>
      <c r="B155" s="836"/>
      <c r="C155" s="838"/>
      <c r="E155" s="868"/>
      <c r="P155" s="869"/>
    </row>
    <row r="156" spans="1:16" s="839" customFormat="1" ht="12.75">
      <c r="A156" s="836"/>
      <c r="B156" s="836"/>
      <c r="C156" s="838"/>
      <c r="E156" s="868"/>
      <c r="P156" s="869"/>
    </row>
    <row r="157" spans="1:16" s="839" customFormat="1" ht="12.75">
      <c r="A157" s="836"/>
      <c r="B157" s="836"/>
      <c r="C157" s="838"/>
      <c r="E157" s="868"/>
      <c r="P157" s="869"/>
    </row>
    <row r="158" spans="1:16" s="839" customFormat="1" ht="12.75">
      <c r="A158" s="836"/>
      <c r="B158" s="836"/>
      <c r="C158" s="838"/>
      <c r="E158" s="868"/>
      <c r="P158" s="869"/>
    </row>
    <row r="159" spans="1:16" s="839" customFormat="1" ht="12.75">
      <c r="A159" s="836"/>
      <c r="B159" s="836"/>
      <c r="C159" s="838"/>
      <c r="E159" s="868"/>
      <c r="P159" s="869"/>
    </row>
    <row r="160" spans="1:16" s="839" customFormat="1" ht="12.75">
      <c r="A160" s="836"/>
      <c r="B160" s="836"/>
      <c r="C160" s="838"/>
      <c r="E160" s="868"/>
      <c r="P160" s="869"/>
    </row>
    <row r="161" spans="1:16" s="839" customFormat="1" ht="12.75">
      <c r="A161" s="836"/>
      <c r="B161" s="836"/>
      <c r="C161" s="838"/>
      <c r="E161" s="868"/>
      <c r="P161" s="869"/>
    </row>
    <row r="162" spans="1:16" s="839" customFormat="1" ht="12.75">
      <c r="A162" s="836"/>
      <c r="B162" s="836"/>
      <c r="C162" s="838"/>
      <c r="E162" s="868"/>
      <c r="P162" s="869"/>
    </row>
    <row r="163" spans="1:16" s="839" customFormat="1" ht="12.75">
      <c r="A163" s="836"/>
      <c r="B163" s="836"/>
      <c r="C163" s="838"/>
      <c r="E163" s="868"/>
      <c r="P163" s="869"/>
    </row>
    <row r="164" spans="1:16" s="839" customFormat="1" ht="12.75">
      <c r="A164" s="836"/>
      <c r="B164" s="836"/>
      <c r="C164" s="838"/>
      <c r="E164" s="868"/>
      <c r="P164" s="869"/>
    </row>
  </sheetData>
  <sheetProtection/>
  <mergeCells count="14">
    <mergeCell ref="N6:N7"/>
    <mergeCell ref="O6:O7"/>
    <mergeCell ref="P6:P7"/>
    <mergeCell ref="H6:H7"/>
    <mergeCell ref="I6:I7"/>
    <mergeCell ref="J6:J7"/>
    <mergeCell ref="K6:K7"/>
    <mergeCell ref="L6:L7"/>
    <mergeCell ref="A2:M2"/>
    <mergeCell ref="A6:A7"/>
    <mergeCell ref="B6:B7"/>
    <mergeCell ref="C6:C7"/>
    <mergeCell ref="M6:M7"/>
    <mergeCell ref="D6:G6"/>
  </mergeCells>
  <hyperlinks>
    <hyperlink ref="A1" location="Содержание!A1" display="Вернуться к содержанию"/>
  </hyperlink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8"/>
  <sheetViews>
    <sheetView zoomScale="90" zoomScaleNormal="90" zoomScalePageLayoutView="0" workbookViewId="0" topLeftCell="A1">
      <pane ySplit="9" topLeftCell="A58" activePane="bottomLeft" state="frozen"/>
      <selection pane="topLeft" activeCell="A1" sqref="A1"/>
      <selection pane="bottomLeft" activeCell="G81" sqref="G81"/>
    </sheetView>
  </sheetViews>
  <sheetFormatPr defaultColWidth="7.875" defaultRowHeight="12.75" outlineLevelRow="1"/>
  <cols>
    <col min="1" max="1" width="6.375" style="871" customWidth="1"/>
    <col min="2" max="2" width="54.25390625" style="871" bestFit="1" customWidth="1"/>
    <col min="3" max="3" width="8.625" style="838" customWidth="1"/>
    <col min="4" max="4" width="9.875" style="839" bestFit="1" customWidth="1"/>
    <col min="5" max="5" width="11.625" style="872" bestFit="1" customWidth="1"/>
    <col min="6" max="15" width="11.625" style="870" bestFit="1" customWidth="1"/>
    <col min="16" max="16" width="12.625" style="928" bestFit="1" customWidth="1"/>
    <col min="17" max="16384" width="7.875" style="870" customWidth="1"/>
  </cols>
  <sheetData>
    <row r="1" spans="1:3" s="2" customFormat="1" ht="12.75">
      <c r="A1" s="6" t="s">
        <v>129</v>
      </c>
      <c r="C1" s="8"/>
    </row>
    <row r="2" spans="1:16" ht="18.75">
      <c r="A2" s="1149" t="s">
        <v>698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</row>
    <row r="3" spans="1:16" ht="18.75">
      <c r="A3" s="1149"/>
      <c r="B3" s="1149"/>
      <c r="C3" s="1149"/>
      <c r="D3" s="1149"/>
      <c r="E3" s="1149"/>
      <c r="F3" s="1149"/>
      <c r="G3" s="1149"/>
      <c r="H3" s="1149"/>
      <c r="I3" s="1149"/>
      <c r="J3" s="1149"/>
      <c r="K3" s="1149"/>
      <c r="L3" s="1149"/>
      <c r="M3" s="1149"/>
      <c r="N3" s="1149"/>
      <c r="O3" s="1149"/>
      <c r="P3" s="1149"/>
    </row>
    <row r="4" spans="2:16" ht="13.5">
      <c r="B4" s="96"/>
      <c r="C4" s="97"/>
      <c r="D4" s="97"/>
      <c r="E4" s="97"/>
      <c r="F4" s="97"/>
      <c r="G4" s="98"/>
      <c r="H4" s="12"/>
      <c r="I4" s="12"/>
      <c r="J4" s="12"/>
      <c r="K4" s="12"/>
      <c r="L4" s="12"/>
      <c r="M4" s="12"/>
      <c r="N4" s="12"/>
      <c r="O4" s="12"/>
      <c r="P4" s="315"/>
    </row>
    <row r="5" spans="2:16" ht="13.5">
      <c r="B5" s="96"/>
      <c r="C5" s="97"/>
      <c r="D5" s="97"/>
      <c r="E5" s="97"/>
      <c r="F5" s="97"/>
      <c r="G5" s="97"/>
      <c r="H5" s="97"/>
      <c r="I5" s="12"/>
      <c r="J5" s="12"/>
      <c r="K5" s="12"/>
      <c r="L5" s="12"/>
      <c r="M5" s="12"/>
      <c r="N5" s="12"/>
      <c r="O5" s="12"/>
      <c r="P5" s="315"/>
    </row>
    <row r="6" spans="2:16" ht="13.5">
      <c r="B6" s="96"/>
      <c r="C6" s="97"/>
      <c r="D6" s="97"/>
      <c r="E6" s="97"/>
      <c r="F6" s="97"/>
      <c r="G6" s="98"/>
      <c r="H6" s="12"/>
      <c r="I6" s="12"/>
      <c r="J6" s="12"/>
      <c r="K6" s="12"/>
      <c r="L6" s="12"/>
      <c r="M6" s="12"/>
      <c r="N6" s="12"/>
      <c r="O6" s="12"/>
      <c r="P6" s="315"/>
    </row>
    <row r="7" spans="1:16" ht="24">
      <c r="A7" s="147" t="s">
        <v>255</v>
      </c>
      <c r="B7" s="1150" t="s">
        <v>622</v>
      </c>
      <c r="C7" s="1121">
        <f>D7-1</f>
        <v>2005</v>
      </c>
      <c r="D7" s="1129">
        <f>Параметры!D3</f>
        <v>2006</v>
      </c>
      <c r="E7" s="1130"/>
      <c r="F7" s="1130"/>
      <c r="G7" s="1131"/>
      <c r="H7" s="1121">
        <f>D7+1</f>
        <v>2007</v>
      </c>
      <c r="I7" s="1121">
        <f aca="true" t="shared" si="0" ref="I7:O7">H7+1</f>
        <v>2008</v>
      </c>
      <c r="J7" s="1121">
        <f t="shared" si="0"/>
        <v>2009</v>
      </c>
      <c r="K7" s="1121">
        <f t="shared" si="0"/>
        <v>2010</v>
      </c>
      <c r="L7" s="1121">
        <f t="shared" si="0"/>
        <v>2011</v>
      </c>
      <c r="M7" s="1121">
        <f t="shared" si="0"/>
        <v>2012</v>
      </c>
      <c r="N7" s="1121">
        <f t="shared" si="0"/>
        <v>2013</v>
      </c>
      <c r="O7" s="1121">
        <f t="shared" si="0"/>
        <v>2014</v>
      </c>
      <c r="P7" s="1154" t="s">
        <v>217</v>
      </c>
    </row>
    <row r="8" spans="1:16" ht="12.75">
      <c r="A8" s="762"/>
      <c r="B8" s="1151"/>
      <c r="C8" s="1122"/>
      <c r="D8" s="763" t="s">
        <v>725</v>
      </c>
      <c r="E8" s="763" t="s">
        <v>726</v>
      </c>
      <c r="F8" s="763" t="s">
        <v>727</v>
      </c>
      <c r="G8" s="763" t="s">
        <v>728</v>
      </c>
      <c r="H8" s="1122"/>
      <c r="I8" s="1122"/>
      <c r="J8" s="1122"/>
      <c r="K8" s="1122"/>
      <c r="L8" s="1122"/>
      <c r="M8" s="1122"/>
      <c r="N8" s="1122"/>
      <c r="O8" s="1122"/>
      <c r="P8" s="1155"/>
    </row>
    <row r="9" spans="1:16" ht="12.75">
      <c r="A9" s="11">
        <v>1</v>
      </c>
      <c r="B9" s="54">
        <f>A9+1</f>
        <v>2</v>
      </c>
      <c r="C9" s="54">
        <f>B9+1</f>
        <v>3</v>
      </c>
      <c r="D9" s="54">
        <f aca="true" t="shared" si="1" ref="D9:P9">C9+1</f>
        <v>4</v>
      </c>
      <c r="E9" s="54">
        <f t="shared" si="1"/>
        <v>5</v>
      </c>
      <c r="F9" s="54">
        <f t="shared" si="1"/>
        <v>6</v>
      </c>
      <c r="G9" s="54">
        <f t="shared" si="1"/>
        <v>7</v>
      </c>
      <c r="H9" s="54">
        <f t="shared" si="1"/>
        <v>8</v>
      </c>
      <c r="I9" s="54">
        <f t="shared" si="1"/>
        <v>9</v>
      </c>
      <c r="J9" s="54">
        <f t="shared" si="1"/>
        <v>10</v>
      </c>
      <c r="K9" s="54">
        <f t="shared" si="1"/>
        <v>11</v>
      </c>
      <c r="L9" s="54">
        <f t="shared" si="1"/>
        <v>12</v>
      </c>
      <c r="M9" s="54">
        <f t="shared" si="1"/>
        <v>13</v>
      </c>
      <c r="N9" s="54">
        <f t="shared" si="1"/>
        <v>14</v>
      </c>
      <c r="O9" s="54">
        <f t="shared" si="1"/>
        <v>15</v>
      </c>
      <c r="P9" s="893">
        <f t="shared" si="1"/>
        <v>16</v>
      </c>
    </row>
    <row r="10" spans="2:16" ht="15">
      <c r="B10" s="787"/>
      <c r="C10" s="788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894"/>
    </row>
    <row r="11" spans="1:16" ht="14.25">
      <c r="A11" s="895" t="s">
        <v>660</v>
      </c>
      <c r="B11" s="838"/>
      <c r="D11" s="853"/>
      <c r="E11" s="853"/>
      <c r="F11" s="853"/>
      <c r="G11" s="853"/>
      <c r="H11" s="853"/>
      <c r="I11" s="853"/>
      <c r="J11" s="853"/>
      <c r="K11" s="853"/>
      <c r="L11" s="853"/>
      <c r="M11" s="853"/>
      <c r="N11" s="853"/>
      <c r="O11" s="853"/>
      <c r="P11" s="839"/>
    </row>
    <row r="12" spans="1:16" ht="14.25">
      <c r="A12" s="895"/>
      <c r="B12" s="838"/>
      <c r="D12" s="896"/>
      <c r="E12" s="853"/>
      <c r="F12" s="853"/>
      <c r="G12" s="853"/>
      <c r="H12" s="853"/>
      <c r="I12" s="853"/>
      <c r="J12" s="853"/>
      <c r="K12" s="853"/>
      <c r="L12" s="853"/>
      <c r="M12" s="853"/>
      <c r="N12" s="853"/>
      <c r="O12" s="853"/>
      <c r="P12" s="839"/>
    </row>
    <row r="13" spans="1:16" ht="12.75">
      <c r="A13" s="839"/>
      <c r="B13" s="897" t="s">
        <v>661</v>
      </c>
      <c r="D13" s="898"/>
      <c r="E13" s="898"/>
      <c r="F13" s="898"/>
      <c r="G13" s="898"/>
      <c r="H13" s="898"/>
      <c r="I13" s="898"/>
      <c r="J13" s="898"/>
      <c r="K13" s="898"/>
      <c r="L13" s="898"/>
      <c r="M13" s="898"/>
      <c r="N13" s="898"/>
      <c r="O13" s="898"/>
      <c r="P13" s="899"/>
    </row>
    <row r="14" spans="1:16" ht="12.75" outlineLevel="1">
      <c r="A14" s="900" t="s">
        <v>295</v>
      </c>
      <c r="B14" s="901" t="str">
        <f>VLOOKUP(A14,Справочники!$B:$F,3,FALSE)</f>
        <v>Материальные затраты</v>
      </c>
      <c r="D14" s="818">
        <f>SUMIF('ОДР '!$B$32:$B$86,$A14,'ОДР '!D$32:D$86)</f>
        <v>1100</v>
      </c>
      <c r="E14" s="818">
        <f>SUMIF('ОДР '!$B$32:$B$86,$A14,'ОДР '!E$32:E$86)</f>
        <v>1100</v>
      </c>
      <c r="F14" s="818">
        <f>SUMIF('ОДР '!$B$32:$B$86,$A14,'ОДР '!F$32:F$86)</f>
        <v>1100</v>
      </c>
      <c r="G14" s="818">
        <f>SUMIF('ОДР '!$B$32:$B$86,$A14,'ОДР '!G$32:G$86)</f>
        <v>1100</v>
      </c>
      <c r="H14" s="818">
        <f>SUMIF('ОДР '!$B$32:$B$86,$A14,'ОДР '!H$32:H$86)</f>
        <v>5000</v>
      </c>
      <c r="I14" s="818">
        <f>SUMIF('ОДР '!$B$32:$B$86,$A14,'ОДР '!I$32:I$86)</f>
        <v>5500</v>
      </c>
      <c r="J14" s="818">
        <f>SUMIF('ОДР '!$B$32:$B$86,$A14,'ОДР '!J$32:J$86)</f>
        <v>6000</v>
      </c>
      <c r="K14" s="818">
        <f>SUMIF('ОДР '!$B$32:$B$86,$A14,'ОДР '!K$32:K$86)</f>
        <v>6500</v>
      </c>
      <c r="L14" s="818">
        <f>SUMIF('ОДР '!$B$32:$B$86,$A14,'ОДР '!L$32:L$86)</f>
        <v>0</v>
      </c>
      <c r="M14" s="818">
        <f>SUMIF('ОДР '!$B$32:$B$86,$A14,'ОДР '!M$32:M$86)</f>
        <v>0</v>
      </c>
      <c r="N14" s="818">
        <f>SUMIF('ОДР '!$B$32:$B$86,$A14,'ОДР '!N$32:N$86)</f>
        <v>0</v>
      </c>
      <c r="O14" s="818">
        <f>SUMIF('ОДР '!$B$32:$B$86,$A14,'ОДР '!O$32:O$86)</f>
        <v>0</v>
      </c>
      <c r="P14" s="792">
        <f>SUM(D14:O14)</f>
        <v>27400</v>
      </c>
    </row>
    <row r="15" spans="1:16" ht="12.75" outlineLevel="1">
      <c r="A15" s="900" t="s">
        <v>317</v>
      </c>
      <c r="B15" s="901" t="str">
        <f>VLOOKUP(A15,Справочники!$B:$F,3,FALSE)</f>
        <v>Услуги сторонних организаций</v>
      </c>
      <c r="D15" s="818">
        <f>SUMIF('ОДР '!$B$32:$B$86,$A15,'ОДР '!D$32:D$86)</f>
        <v>70988</v>
      </c>
      <c r="E15" s="818">
        <f>SUMIF('ОДР '!$B$32:$B$86,$A15,'ОДР '!E$32:E$86)</f>
        <v>60188</v>
      </c>
      <c r="F15" s="818">
        <f>SUMIF('ОДР '!$B$32:$B$86,$A15,'ОДР '!F$32:F$86)</f>
        <v>90188</v>
      </c>
      <c r="G15" s="818">
        <f>SUMIF('ОДР '!$B$32:$B$86,$A15,'ОДР '!G$32:G$86)</f>
        <v>90188</v>
      </c>
      <c r="H15" s="818">
        <f>SUMIF('ОДР '!$B$32:$B$86,$A15,'ОДР '!H$32:H$86)</f>
        <v>561509.1355932204</v>
      </c>
      <c r="I15" s="818">
        <f>SUMIF('ОДР '!$B$32:$B$86,$A15,'ОДР '!I$32:I$86)</f>
        <v>642358.3898305085</v>
      </c>
      <c r="J15" s="818">
        <f>SUMIF('ОДР '!$B$32:$B$86,$A15,'ОДР '!J$32:J$86)</f>
        <v>752395.0211864407</v>
      </c>
      <c r="K15" s="818">
        <f>SUMIF('ОДР '!$B$32:$B$86,$A15,'ОДР '!K$32:K$86)</f>
        <v>448515.2468220339</v>
      </c>
      <c r="L15" s="818">
        <f>SUMIF('ОДР '!$B$32:$B$86,$A15,'ОДР '!L$32:L$86)</f>
        <v>82440.6779661017</v>
      </c>
      <c r="M15" s="818">
        <f>SUMIF('ОДР '!$B$32:$B$86,$A15,'ОДР '!M$32:M$86)</f>
        <v>0</v>
      </c>
      <c r="N15" s="818">
        <f>SUMIF('ОДР '!$B$32:$B$86,$A15,'ОДР '!N$32:N$86)</f>
        <v>0</v>
      </c>
      <c r="O15" s="818">
        <f>SUMIF('ОДР '!$B$32:$B$86,$A15,'ОДР '!O$32:O$86)</f>
        <v>0</v>
      </c>
      <c r="P15" s="792"/>
    </row>
    <row r="16" spans="1:16" ht="12.75" outlineLevel="1">
      <c r="A16" s="900" t="s">
        <v>115</v>
      </c>
      <c r="B16" s="901" t="str">
        <f>VLOOKUP(A16,Справочники!$B:$F,3,FALSE)</f>
        <v>Прочие расходы</v>
      </c>
      <c r="D16" s="818">
        <f>SUMIF('ОДР '!$B$32:$B$86,$A16,'ОДР '!D$32:D$86)</f>
        <v>9000</v>
      </c>
      <c r="E16" s="818">
        <f>SUMIF('ОДР '!$B$32:$B$86,$A16,'ОДР '!E$32:E$86)</f>
        <v>10000</v>
      </c>
      <c r="F16" s="818">
        <f>SUMIF('ОДР '!$B$32:$B$86,$A16,'ОДР '!F$32:F$86)</f>
        <v>14000</v>
      </c>
      <c r="G16" s="818">
        <f>SUMIF('ОДР '!$B$32:$B$86,$A16,'ОДР '!G$32:G$86)</f>
        <v>23000</v>
      </c>
      <c r="H16" s="818">
        <f>SUMIF('ОДР '!$B$32:$B$86,$A16,'ОДР '!H$32:H$86)</f>
        <v>90000</v>
      </c>
      <c r="I16" s="818">
        <f>SUMIF('ОДР '!$B$32:$B$86,$A16,'ОДР '!I$32:I$86)</f>
        <v>100000</v>
      </c>
      <c r="J16" s="818">
        <f>SUMIF('ОДР '!$B$32:$B$86,$A16,'ОДР '!J$32:J$86)</f>
        <v>110500</v>
      </c>
      <c r="K16" s="818">
        <f>SUMIF('ОДР '!$B$32:$B$86,$A16,'ОДР '!K$32:K$86)</f>
        <v>66550</v>
      </c>
      <c r="L16" s="818">
        <f>SUMIF('ОДР '!$B$32:$B$86,$A16,'ОДР '!L$32:L$86)</f>
        <v>0</v>
      </c>
      <c r="M16" s="818">
        <f>SUMIF('ОДР '!$B$32:$B$86,$A16,'ОДР '!M$32:M$86)</f>
        <v>0</v>
      </c>
      <c r="N16" s="818">
        <f>SUMIF('ОДР '!$B$32:$B$86,$A16,'ОДР '!N$32:N$86)</f>
        <v>0</v>
      </c>
      <c r="O16" s="818">
        <f>SUMIF('ОДР '!$B$32:$B$86,$A16,'ОДР '!O$32:O$86)</f>
        <v>0</v>
      </c>
      <c r="P16" s="792">
        <f>SUM(D16:O16)</f>
        <v>423050</v>
      </c>
    </row>
    <row r="17" spans="1:16" ht="12.75" outlineLevel="1">
      <c r="A17" s="900" t="s">
        <v>11</v>
      </c>
      <c r="B17" s="901" t="str">
        <f>VLOOKUP(A17,Справочники!$B:$F,3,FALSE)</f>
        <v>Товары для перепродажи</v>
      </c>
      <c r="D17" s="818">
        <f>'ОДР '!D19+'План закупок '!E12-'План закупок '!E13</f>
        <v>192527.94473229698</v>
      </c>
      <c r="E17" s="818">
        <f>'ОДР '!E19+'План закупок '!F12-'План закупок '!F13</f>
        <v>818905</v>
      </c>
      <c r="F17" s="818">
        <f>'ОДР '!F19+'План закупок '!G12-'План закупок '!G13</f>
        <v>908655</v>
      </c>
      <c r="G17" s="818">
        <f>'ОДР '!G19+'План закупок '!H12-'План закупок '!H13</f>
        <v>1028755</v>
      </c>
      <c r="H17" s="818">
        <f>'ОДР '!H19+'План закупок '!I12-'План закупок '!I13</f>
        <v>6723932.203389831</v>
      </c>
      <c r="I17" s="818">
        <f>'ОДР '!I19+'План закупок '!J12-'План закупок '!J13</f>
        <v>12232305.084745763</v>
      </c>
      <c r="J17" s="818">
        <f>'ОДР '!J19+'План закупок '!K12-'План закупок '!K13</f>
        <v>18276864.40677966</v>
      </c>
      <c r="K17" s="818">
        <f>'ОДР '!K19+'План закупок '!L12-'План закупок '!L13</f>
        <v>668220.3389830508</v>
      </c>
      <c r="L17" s="818">
        <f>'ОДР '!L19+'План закупок '!M12-'План закупок '!M13</f>
        <v>427661.0169491526</v>
      </c>
      <c r="M17" s="818">
        <f>'ОДР '!M19+'План закупок '!N12-'План закупок '!N13</f>
        <v>0</v>
      </c>
      <c r="N17" s="818">
        <f>'ОДР '!N19+'План закупок '!O12-'План закупок '!O13</f>
        <v>0</v>
      </c>
      <c r="O17" s="818">
        <f>'ОДР '!O19+'План закупок '!P12-'План закупок '!P13</f>
        <v>0</v>
      </c>
      <c r="P17" s="792">
        <f>SUM(D17:O17)</f>
        <v>41277825.99557976</v>
      </c>
    </row>
    <row r="18" spans="1:16" s="897" customFormat="1" ht="12.75">
      <c r="A18" s="902"/>
      <c r="B18" s="903" t="s">
        <v>662</v>
      </c>
      <c r="C18" s="904"/>
      <c r="D18" s="824">
        <f aca="true" t="shared" si="2" ref="D18:P18">SUM(D14:D17)</f>
        <v>273615.944732297</v>
      </c>
      <c r="E18" s="824">
        <f t="shared" si="2"/>
        <v>890193</v>
      </c>
      <c r="F18" s="824">
        <f t="shared" si="2"/>
        <v>1013943</v>
      </c>
      <c r="G18" s="824">
        <f t="shared" si="2"/>
        <v>1143043</v>
      </c>
      <c r="H18" s="824">
        <f t="shared" si="2"/>
        <v>7380441.3389830515</v>
      </c>
      <c r="I18" s="824">
        <f t="shared" si="2"/>
        <v>12980163.474576272</v>
      </c>
      <c r="J18" s="824">
        <f t="shared" si="2"/>
        <v>19145759.427966103</v>
      </c>
      <c r="K18" s="824">
        <f t="shared" si="2"/>
        <v>1189785.5858050846</v>
      </c>
      <c r="L18" s="824">
        <f t="shared" si="2"/>
        <v>510101.69491525425</v>
      </c>
      <c r="M18" s="824">
        <f t="shared" si="2"/>
        <v>0</v>
      </c>
      <c r="N18" s="824">
        <f t="shared" si="2"/>
        <v>0</v>
      </c>
      <c r="O18" s="824">
        <f t="shared" si="2"/>
        <v>0</v>
      </c>
      <c r="P18" s="792">
        <f t="shared" si="2"/>
        <v>41728275.99557976</v>
      </c>
    </row>
    <row r="19" spans="1:16" ht="12.75">
      <c r="A19" s="839"/>
      <c r="B19" s="905" t="s">
        <v>663</v>
      </c>
      <c r="C19" s="906"/>
      <c r="D19" s="814">
        <f>D18*Параметры!D38</f>
        <v>49250.87005181346</v>
      </c>
      <c r="E19" s="814">
        <f>E18*Параметры!E38</f>
        <v>160234.74</v>
      </c>
      <c r="F19" s="814">
        <f>F18*Параметры!F38</f>
        <v>182509.74</v>
      </c>
      <c r="G19" s="814">
        <f>G18*Параметры!G38</f>
        <v>205747.74</v>
      </c>
      <c r="H19" s="814">
        <f>H18*Параметры!H38</f>
        <v>1328479.4410169492</v>
      </c>
      <c r="I19" s="814">
        <f>I18*Параметры!I38</f>
        <v>2336429.425423729</v>
      </c>
      <c r="J19" s="814">
        <f>J18*Параметры!J38</f>
        <v>3446236.6970338984</v>
      </c>
      <c r="K19" s="814">
        <f>K18*Параметры!K38</f>
        <v>214161.4054449152</v>
      </c>
      <c r="L19" s="814">
        <f>L18*Параметры!L38</f>
        <v>91818.30508474576</v>
      </c>
      <c r="M19" s="814">
        <f>M18*Параметры!M38</f>
        <v>0</v>
      </c>
      <c r="N19" s="814">
        <f>N18*Параметры!N38</f>
        <v>0</v>
      </c>
      <c r="O19" s="814">
        <f>O18*Параметры!O38</f>
        <v>0</v>
      </c>
      <c r="P19" s="907">
        <f>SUM(D19:O19)</f>
        <v>8014868.364056051</v>
      </c>
    </row>
    <row r="20" spans="1:16" ht="12.75">
      <c r="A20" s="839"/>
      <c r="B20" s="897" t="s">
        <v>664</v>
      </c>
      <c r="D20" s="898"/>
      <c r="E20" s="898"/>
      <c r="F20" s="898"/>
      <c r="G20" s="898"/>
      <c r="H20" s="898"/>
      <c r="I20" s="898"/>
      <c r="J20" s="898"/>
      <c r="K20" s="898"/>
      <c r="L20" s="898"/>
      <c r="M20" s="898"/>
      <c r="N20" s="898"/>
      <c r="O20" s="898"/>
      <c r="P20" s="899"/>
    </row>
    <row r="21" spans="1:16" ht="12.75" outlineLevel="1">
      <c r="A21" s="900" t="s">
        <v>295</v>
      </c>
      <c r="B21" s="901" t="str">
        <f>VLOOKUP(A21,Справочники!$B:$F,3,FALSE)</f>
        <v>Материальные затраты</v>
      </c>
      <c r="D21" s="818">
        <f>-Кредиторы!D63</f>
        <v>1298</v>
      </c>
      <c r="E21" s="818">
        <f>-Кредиторы!E63</f>
        <v>1298</v>
      </c>
      <c r="F21" s="818">
        <f>-Кредиторы!F63</f>
        <v>1298</v>
      </c>
      <c r="G21" s="818">
        <f>-Кредиторы!G63</f>
        <v>1298</v>
      </c>
      <c r="H21" s="818">
        <f>-Кредиторы!H63</f>
        <v>5900</v>
      </c>
      <c r="I21" s="818">
        <f>-Кредиторы!I63</f>
        <v>6490</v>
      </c>
      <c r="J21" s="818">
        <f>-Кредиторы!J63</f>
        <v>7080</v>
      </c>
      <c r="K21" s="818">
        <f>-Кредиторы!K63</f>
        <v>7670</v>
      </c>
      <c r="L21" s="818">
        <f>-Кредиторы!L63</f>
        <v>0</v>
      </c>
      <c r="M21" s="818">
        <f>-Кредиторы!M63</f>
        <v>0</v>
      </c>
      <c r="N21" s="818">
        <f>-Кредиторы!N63</f>
        <v>0</v>
      </c>
      <c r="O21" s="818">
        <f>-Кредиторы!O63</f>
        <v>0</v>
      </c>
      <c r="P21" s="792">
        <f>SUM(D21:O21)</f>
        <v>32332</v>
      </c>
    </row>
    <row r="22" spans="1:16" ht="12.75" outlineLevel="1">
      <c r="A22" s="900" t="s">
        <v>317</v>
      </c>
      <c r="B22" s="901" t="str">
        <f>VLOOKUP(A22,Справочники!$B:$F,3,FALSE)</f>
        <v>Услуги сторонних организаций</v>
      </c>
      <c r="D22" s="818">
        <f>-Кредиторы!D86</f>
        <v>86183.80200345423</v>
      </c>
      <c r="E22" s="818">
        <f>-Кредиторы!E86</f>
        <v>71021.84</v>
      </c>
      <c r="F22" s="818">
        <f>-Кредиторы!F86</f>
        <v>106421.84</v>
      </c>
      <c r="G22" s="818">
        <f>-Кредиторы!G86</f>
        <v>106421.84</v>
      </c>
      <c r="H22" s="818">
        <f>-Кредиторы!H86</f>
        <v>662580.78</v>
      </c>
      <c r="I22" s="818">
        <f>-Кредиторы!I86</f>
        <v>757982.9</v>
      </c>
      <c r="J22" s="818">
        <f>-Кредиторы!J86</f>
        <v>887826.125</v>
      </c>
      <c r="K22" s="818">
        <f>-Кредиторы!K86</f>
        <v>529247.99125</v>
      </c>
      <c r="L22" s="818">
        <f>-Кредиторы!L86</f>
        <v>97280.00000000001</v>
      </c>
      <c r="M22" s="818">
        <f>-Кредиторы!M86</f>
        <v>0</v>
      </c>
      <c r="N22" s="818">
        <f>-Кредиторы!N86</f>
        <v>0</v>
      </c>
      <c r="O22" s="818">
        <f>-Кредиторы!O86</f>
        <v>0</v>
      </c>
      <c r="P22" s="792">
        <f>SUM(D22:O22)</f>
        <v>3304967.118253454</v>
      </c>
    </row>
    <row r="23" spans="1:16" ht="12.75" outlineLevel="1">
      <c r="A23" s="900" t="s">
        <v>115</v>
      </c>
      <c r="B23" s="901" t="str">
        <f>VLOOKUP(A23,Справочники!$B:$F,3,FALSE)</f>
        <v>Прочие расходы</v>
      </c>
      <c r="D23" s="818">
        <f>-Кредиторы!D102</f>
        <v>10620</v>
      </c>
      <c r="E23" s="818">
        <f>-Кредиторы!E102</f>
        <v>11800</v>
      </c>
      <c r="F23" s="818">
        <f>-Кредиторы!F102</f>
        <v>16520</v>
      </c>
      <c r="G23" s="818">
        <f>-Кредиторы!G102</f>
        <v>27140</v>
      </c>
      <c r="H23" s="818">
        <f>-Кредиторы!H102</f>
        <v>106200</v>
      </c>
      <c r="I23" s="818">
        <f>-Кредиторы!I102</f>
        <v>118000</v>
      </c>
      <c r="J23" s="818">
        <f>-Кредиторы!J102</f>
        <v>130390</v>
      </c>
      <c r="K23" s="818">
        <f>-Кредиторы!K102</f>
        <v>78529</v>
      </c>
      <c r="L23" s="818">
        <f>-Кредиторы!L102</f>
        <v>0</v>
      </c>
      <c r="M23" s="818">
        <f>-Кредиторы!M102</f>
        <v>0</v>
      </c>
      <c r="N23" s="818">
        <f>-Кредиторы!N102</f>
        <v>0</v>
      </c>
      <c r="O23" s="818">
        <f>-Кредиторы!O102</f>
        <v>0</v>
      </c>
      <c r="P23" s="792">
        <f>SUM(D23:O23)</f>
        <v>499199</v>
      </c>
    </row>
    <row r="24" spans="1:16" ht="12.75" outlineLevel="1">
      <c r="A24" s="900" t="s">
        <v>11</v>
      </c>
      <c r="B24" s="901" t="str">
        <f>VLOOKUP(A24,Справочники!$B:$F,3,FALSE)</f>
        <v>Товары для перепродажи</v>
      </c>
      <c r="D24" s="818">
        <f>-Кредиторы!D110</f>
        <v>300313.17636927153</v>
      </c>
      <c r="E24" s="818">
        <f>-Кредиторы!E110</f>
        <v>913359.5219178082</v>
      </c>
      <c r="F24" s="818">
        <f>-Кредиторы!F110</f>
        <v>1025909.8903991294</v>
      </c>
      <c r="G24" s="818">
        <f>-Кредиторы!G110</f>
        <v>1200362.5164383561</v>
      </c>
      <c r="H24" s="818">
        <f>-Кредиторы!H110</f>
        <v>7558238.515068494</v>
      </c>
      <c r="I24" s="818">
        <f>-Кредиторы!I110</f>
        <v>13709726.076712329</v>
      </c>
      <c r="J24" s="818">
        <f>-Кредиторы!J110</f>
        <v>20819715.89041096</v>
      </c>
      <c r="K24" s="818">
        <f>-Кредиторы!K110</f>
        <v>1536205.2054794517</v>
      </c>
      <c r="L24" s="818">
        <f>-Кредиторы!L110</f>
        <v>1658725.4794520547</v>
      </c>
      <c r="M24" s="818">
        <f>-Кредиторы!M110</f>
        <v>43205.479452054795</v>
      </c>
      <c r="N24" s="818">
        <f>-Кредиторы!N110</f>
        <v>27651.50684931507</v>
      </c>
      <c r="O24" s="818">
        <f>-Кредиторы!O110</f>
        <v>0</v>
      </c>
      <c r="P24" s="792">
        <f>SUM(D24:O24)</f>
        <v>48793413.25854922</v>
      </c>
    </row>
    <row r="25" spans="1:16" s="897" customFormat="1" ht="12.75">
      <c r="A25" s="908"/>
      <c r="B25" s="903" t="s">
        <v>665</v>
      </c>
      <c r="C25" s="904"/>
      <c r="D25" s="824">
        <f aca="true" t="shared" si="3" ref="D25:P25">SUM(D21:D24)</f>
        <v>398414.9783727258</v>
      </c>
      <c r="E25" s="824">
        <f t="shared" si="3"/>
        <v>997479.3619178082</v>
      </c>
      <c r="F25" s="824">
        <f t="shared" si="3"/>
        <v>1150149.7303991294</v>
      </c>
      <c r="G25" s="824">
        <f t="shared" si="3"/>
        <v>1335222.3564383562</v>
      </c>
      <c r="H25" s="824">
        <f t="shared" si="3"/>
        <v>8332919.295068494</v>
      </c>
      <c r="I25" s="824">
        <f t="shared" si="3"/>
        <v>14592198.97671233</v>
      </c>
      <c r="J25" s="824">
        <f t="shared" si="3"/>
        <v>21845012.01541096</v>
      </c>
      <c r="K25" s="824">
        <f t="shared" si="3"/>
        <v>2151652.1967294514</v>
      </c>
      <c r="L25" s="824">
        <f t="shared" si="3"/>
        <v>1756005.4794520547</v>
      </c>
      <c r="M25" s="824">
        <f t="shared" si="3"/>
        <v>43205.479452054795</v>
      </c>
      <c r="N25" s="824">
        <f t="shared" si="3"/>
        <v>27651.50684931507</v>
      </c>
      <c r="O25" s="824">
        <f t="shared" si="3"/>
        <v>0</v>
      </c>
      <c r="P25" s="792">
        <f t="shared" si="3"/>
        <v>52629911.376802675</v>
      </c>
    </row>
    <row r="26" spans="1:16" ht="12.75">
      <c r="A26" s="908"/>
      <c r="B26" s="905" t="s">
        <v>666</v>
      </c>
      <c r="C26" s="906"/>
      <c r="D26" s="814">
        <f>(D25*Параметры!D38)/(1+Параметры!D38)</f>
        <v>60775.166192449695</v>
      </c>
      <c r="E26" s="814">
        <f>(E25*Параметры!E38)/(1+Параметры!E38)</f>
        <v>152157.8687671233</v>
      </c>
      <c r="F26" s="814">
        <f>(F25*Параметры!F38)/(1+Параметры!F38)</f>
        <v>175446.56904393501</v>
      </c>
      <c r="G26" s="814">
        <f>(G25*Параметры!G38)/(1+Параметры!G38)</f>
        <v>203677.98657534245</v>
      </c>
      <c r="H26" s="814">
        <f>(H25*Параметры!H38)/(1+Параметры!H38)</f>
        <v>1271123.282298584</v>
      </c>
      <c r="I26" s="814">
        <f>(I25*Параметры!I38)/(1+Параметры!I38)</f>
        <v>2225928.6574645927</v>
      </c>
      <c r="J26" s="814">
        <f>(J25*Параметры!J38)/(1+Параметры!J38)</f>
        <v>3332289.9684525193</v>
      </c>
      <c r="K26" s="814">
        <f>(K25*Параметры!K38)/(1+Параметры!K38)</f>
        <v>328218.1317044926</v>
      </c>
      <c r="L26" s="814">
        <f>(L25*Параметры!L38)/(1+Параметры!L38)</f>
        <v>267865.24262827955</v>
      </c>
      <c r="M26" s="814">
        <f>(M25*Параметры!M38)/(1+Параметры!M38)</f>
        <v>6590.666357093105</v>
      </c>
      <c r="N26" s="814">
        <f>(N25*Параметры!N38)/(1+Параметры!N38)</f>
        <v>4218.026468539587</v>
      </c>
      <c r="O26" s="814">
        <f>(O25*Параметры!O38)/(1+Параметры!O38)</f>
        <v>0</v>
      </c>
      <c r="P26" s="907">
        <f>SUM(D26:O26)</f>
        <v>8028291.565952951</v>
      </c>
    </row>
    <row r="27" spans="1:16" ht="12.75">
      <c r="A27" s="836"/>
      <c r="B27" s="838"/>
      <c r="D27" s="853"/>
      <c r="E27" s="853"/>
      <c r="F27" s="853"/>
      <c r="G27" s="853"/>
      <c r="H27" s="853"/>
      <c r="I27" s="853"/>
      <c r="J27" s="853"/>
      <c r="K27" s="853"/>
      <c r="L27" s="853"/>
      <c r="M27" s="853"/>
      <c r="N27" s="853"/>
      <c r="O27" s="853"/>
      <c r="P27" s="839"/>
    </row>
    <row r="28" spans="1:16" ht="12.75">
      <c r="A28" s="909" t="s">
        <v>667</v>
      </c>
      <c r="B28" s="838"/>
      <c r="D28" s="853"/>
      <c r="E28" s="910"/>
      <c r="F28" s="910"/>
      <c r="G28" s="910"/>
      <c r="H28" s="910"/>
      <c r="I28" s="910"/>
      <c r="J28" s="910"/>
      <c r="K28" s="910"/>
      <c r="L28" s="910"/>
      <c r="M28" s="910"/>
      <c r="N28" s="910"/>
      <c r="O28" s="910"/>
      <c r="P28" s="911"/>
    </row>
    <row r="29" spans="1:16" s="816" customFormat="1" ht="12.75">
      <c r="A29" s="816" t="s">
        <v>153</v>
      </c>
      <c r="D29" s="818">
        <f aca="true" t="shared" si="4" ref="D29:O29">C32</f>
        <v>13402.417962003454</v>
      </c>
      <c r="E29" s="818">
        <f t="shared" si="4"/>
        <v>1878.1218213672182</v>
      </c>
      <c r="F29" s="818">
        <f t="shared" si="4"/>
        <v>9954.99305424391</v>
      </c>
      <c r="G29" s="818">
        <f t="shared" si="4"/>
        <v>17018.164010308887</v>
      </c>
      <c r="H29" s="818">
        <f t="shared" si="4"/>
        <v>19087.917434966424</v>
      </c>
      <c r="I29" s="818">
        <f t="shared" si="4"/>
        <v>76444.07615333167</v>
      </c>
      <c r="J29" s="818">
        <f t="shared" si="4"/>
        <v>186944.84411246795</v>
      </c>
      <c r="K29" s="818">
        <f t="shared" si="4"/>
        <v>300891.5726938471</v>
      </c>
      <c r="L29" s="818">
        <f t="shared" si="4"/>
        <v>186834.84643426968</v>
      </c>
      <c r="M29" s="818">
        <f t="shared" si="4"/>
        <v>10787.908890735882</v>
      </c>
      <c r="N29" s="818">
        <f t="shared" si="4"/>
        <v>4197.242533642777</v>
      </c>
      <c r="O29" s="818">
        <f t="shared" si="4"/>
        <v>-20.783934896810024</v>
      </c>
      <c r="P29" s="821">
        <f>D29</f>
        <v>13402.417962003454</v>
      </c>
    </row>
    <row r="30" spans="2:16" s="816" customFormat="1" ht="12.75">
      <c r="B30" s="912" t="s">
        <v>668</v>
      </c>
      <c r="C30" s="808"/>
      <c r="D30" s="818">
        <f aca="true" t="shared" si="5" ref="D30:O30">D19</f>
        <v>49250.87005181346</v>
      </c>
      <c r="E30" s="818">
        <f t="shared" si="5"/>
        <v>160234.74</v>
      </c>
      <c r="F30" s="818">
        <f t="shared" si="5"/>
        <v>182509.74</v>
      </c>
      <c r="G30" s="818">
        <f t="shared" si="5"/>
        <v>205747.74</v>
      </c>
      <c r="H30" s="818">
        <f t="shared" si="5"/>
        <v>1328479.4410169492</v>
      </c>
      <c r="I30" s="818">
        <f t="shared" si="5"/>
        <v>2336429.425423729</v>
      </c>
      <c r="J30" s="818">
        <f t="shared" si="5"/>
        <v>3446236.6970338984</v>
      </c>
      <c r="K30" s="818">
        <f t="shared" si="5"/>
        <v>214161.4054449152</v>
      </c>
      <c r="L30" s="818">
        <f t="shared" si="5"/>
        <v>91818.30508474576</v>
      </c>
      <c r="M30" s="818">
        <f t="shared" si="5"/>
        <v>0</v>
      </c>
      <c r="N30" s="818">
        <f t="shared" si="5"/>
        <v>0</v>
      </c>
      <c r="O30" s="818">
        <f t="shared" si="5"/>
        <v>0</v>
      </c>
      <c r="P30" s="792">
        <f>SUM(D30:O30)</f>
        <v>8014868.364056051</v>
      </c>
    </row>
    <row r="31" spans="1:16" s="816" customFormat="1" ht="12.75">
      <c r="A31" s="846"/>
      <c r="B31" s="912" t="s">
        <v>669</v>
      </c>
      <c r="C31" s="913"/>
      <c r="D31" s="818">
        <f>D26</f>
        <v>60775.166192449695</v>
      </c>
      <c r="E31" s="818">
        <f aca="true" t="shared" si="6" ref="E31:O31">E26</f>
        <v>152157.8687671233</v>
      </c>
      <c r="F31" s="818">
        <f t="shared" si="6"/>
        <v>175446.56904393501</v>
      </c>
      <c r="G31" s="818">
        <f t="shared" si="6"/>
        <v>203677.98657534245</v>
      </c>
      <c r="H31" s="818">
        <f t="shared" si="6"/>
        <v>1271123.282298584</v>
      </c>
      <c r="I31" s="818">
        <f t="shared" si="6"/>
        <v>2225928.6574645927</v>
      </c>
      <c r="J31" s="818">
        <f t="shared" si="6"/>
        <v>3332289.9684525193</v>
      </c>
      <c r="K31" s="818">
        <f t="shared" si="6"/>
        <v>328218.1317044926</v>
      </c>
      <c r="L31" s="818">
        <f t="shared" si="6"/>
        <v>267865.24262827955</v>
      </c>
      <c r="M31" s="818">
        <f t="shared" si="6"/>
        <v>6590.666357093105</v>
      </c>
      <c r="N31" s="818">
        <f t="shared" si="6"/>
        <v>4218.026468539587</v>
      </c>
      <c r="O31" s="818">
        <f t="shared" si="6"/>
        <v>0</v>
      </c>
      <c r="P31" s="792">
        <f>P26</f>
        <v>8028291.565952951</v>
      </c>
    </row>
    <row r="32" spans="1:16" s="816" customFormat="1" ht="13.5" thickBot="1">
      <c r="A32" s="914" t="s">
        <v>154</v>
      </c>
      <c r="B32" s="915"/>
      <c r="C32" s="916">
        <f>(159000+229000)/Параметры!C14</f>
        <v>13402.417962003454</v>
      </c>
      <c r="D32" s="917">
        <f>D29+D30-D31</f>
        <v>1878.1218213672182</v>
      </c>
      <c r="E32" s="917">
        <f aca="true" t="shared" si="7" ref="E32:P32">E29+E30-E31</f>
        <v>9954.99305424391</v>
      </c>
      <c r="F32" s="917">
        <f t="shared" si="7"/>
        <v>17018.164010308887</v>
      </c>
      <c r="G32" s="917">
        <f t="shared" si="7"/>
        <v>19087.917434966424</v>
      </c>
      <c r="H32" s="917">
        <f t="shared" si="7"/>
        <v>76444.07615333167</v>
      </c>
      <c r="I32" s="917">
        <f t="shared" si="7"/>
        <v>186944.84411246795</v>
      </c>
      <c r="J32" s="917">
        <f t="shared" si="7"/>
        <v>300891.5726938471</v>
      </c>
      <c r="K32" s="917">
        <f t="shared" si="7"/>
        <v>186834.84643426968</v>
      </c>
      <c r="L32" s="917">
        <f t="shared" si="7"/>
        <v>10787.908890735882</v>
      </c>
      <c r="M32" s="917">
        <f t="shared" si="7"/>
        <v>4197.242533642777</v>
      </c>
      <c r="N32" s="917">
        <f t="shared" si="7"/>
        <v>-20.783934896810024</v>
      </c>
      <c r="O32" s="917">
        <f t="shared" si="7"/>
        <v>-20.783934896810024</v>
      </c>
      <c r="P32" s="918">
        <f t="shared" si="7"/>
        <v>-20.783934896811843</v>
      </c>
    </row>
    <row r="33" spans="1:16" s="816" customFormat="1" ht="13.5" thickTop="1">
      <c r="A33" s="848"/>
      <c r="C33" s="818"/>
      <c r="D33" s="818"/>
      <c r="E33" s="818"/>
      <c r="F33" s="818"/>
      <c r="G33" s="818"/>
      <c r="H33" s="818"/>
      <c r="I33" s="818"/>
      <c r="J33" s="818"/>
      <c r="K33" s="818"/>
      <c r="L33" s="818"/>
      <c r="M33" s="818"/>
      <c r="N33" s="818"/>
      <c r="O33" s="818"/>
      <c r="P33" s="821"/>
    </row>
    <row r="34" spans="1:16" ht="14.25">
      <c r="A34" s="895" t="s">
        <v>670</v>
      </c>
      <c r="B34" s="838"/>
      <c r="D34" s="853"/>
      <c r="E34" s="919"/>
      <c r="F34" s="853"/>
      <c r="G34" s="853"/>
      <c r="H34" s="853"/>
      <c r="I34" s="853"/>
      <c r="J34" s="853"/>
      <c r="K34" s="853"/>
      <c r="L34" s="853"/>
      <c r="M34" s="853"/>
      <c r="N34" s="853"/>
      <c r="O34" s="853"/>
      <c r="P34" s="839"/>
    </row>
    <row r="35" spans="1:16" ht="14.25">
      <c r="A35" s="895"/>
      <c r="B35" s="838"/>
      <c r="D35" s="853"/>
      <c r="E35" s="853"/>
      <c r="F35" s="853"/>
      <c r="G35" s="853"/>
      <c r="H35" s="853"/>
      <c r="I35" s="853"/>
      <c r="J35" s="853"/>
      <c r="K35" s="853"/>
      <c r="L35" s="853"/>
      <c r="M35" s="853"/>
      <c r="N35" s="853"/>
      <c r="O35" s="853"/>
      <c r="P35" s="839"/>
    </row>
    <row r="36" spans="1:16" ht="12.75">
      <c r="A36" s="839"/>
      <c r="B36" s="897" t="s">
        <v>671</v>
      </c>
      <c r="D36" s="824">
        <f>Инвестиции!D51</f>
        <v>1000</v>
      </c>
      <c r="E36" s="824">
        <f>Инвестиции!E51</f>
        <v>146000</v>
      </c>
      <c r="F36" s="824">
        <f>Инвестиции!F51</f>
        <v>65500</v>
      </c>
      <c r="G36" s="824">
        <f>Инвестиции!G51</f>
        <v>151500</v>
      </c>
      <c r="H36" s="824">
        <f>Инвестиции!H51</f>
        <v>450000</v>
      </c>
      <c r="I36" s="824">
        <f>Инвестиции!I51</f>
        <v>550000</v>
      </c>
      <c r="J36" s="824">
        <f>Инвестиции!J51</f>
        <v>650000</v>
      </c>
      <c r="K36" s="824">
        <f>Инвестиции!K51</f>
        <v>0</v>
      </c>
      <c r="L36" s="824">
        <f>Инвестиции!L51</f>
        <v>0</v>
      </c>
      <c r="M36" s="824">
        <f>Инвестиции!M51</f>
        <v>0</v>
      </c>
      <c r="N36" s="824">
        <f>Инвестиции!N51</f>
        <v>0</v>
      </c>
      <c r="O36" s="824">
        <f>Инвестиции!O51</f>
        <v>0</v>
      </c>
      <c r="P36" s="792">
        <f>SUM(D36:O36)</f>
        <v>2014000</v>
      </c>
    </row>
    <row r="37" spans="1:16" ht="12.75">
      <c r="A37" s="908"/>
      <c r="B37" s="901" t="s">
        <v>672</v>
      </c>
      <c r="D37" s="818">
        <f>D36*Параметры!D38</f>
        <v>180</v>
      </c>
      <c r="E37" s="818">
        <f>E36*Параметры!E38</f>
        <v>26280</v>
      </c>
      <c r="F37" s="818">
        <f>F36*Параметры!F38</f>
        <v>11790</v>
      </c>
      <c r="G37" s="818">
        <f>G36*Параметры!G38</f>
        <v>27270</v>
      </c>
      <c r="H37" s="818">
        <f>H36*Параметры!H38</f>
        <v>81000</v>
      </c>
      <c r="I37" s="818">
        <f>I36*Параметры!I38</f>
        <v>99000</v>
      </c>
      <c r="J37" s="818">
        <f>J36*Параметры!J38</f>
        <v>117000</v>
      </c>
      <c r="K37" s="818">
        <f>K36*Параметры!K38</f>
        <v>0</v>
      </c>
      <c r="L37" s="818">
        <f>L36*Параметры!L38</f>
        <v>0</v>
      </c>
      <c r="M37" s="818">
        <f>M36*Параметры!M38</f>
        <v>0</v>
      </c>
      <c r="N37" s="818">
        <f>N36*Параметры!N38</f>
        <v>0</v>
      </c>
      <c r="O37" s="818">
        <f>O36*Параметры!O38</f>
        <v>0</v>
      </c>
      <c r="P37" s="792">
        <f>SUM(D37:O37)</f>
        <v>362520</v>
      </c>
    </row>
    <row r="38" spans="1:16" ht="12.75">
      <c r="A38" s="839"/>
      <c r="B38" s="897" t="s">
        <v>673</v>
      </c>
      <c r="D38" s="824">
        <f>Инвестиции!D56</f>
        <v>0</v>
      </c>
      <c r="E38" s="824">
        <f>Инвестиции!E56</f>
        <v>1000</v>
      </c>
      <c r="F38" s="824">
        <f>Инвестиции!F56</f>
        <v>1000</v>
      </c>
      <c r="G38" s="824">
        <f>Инвестиции!G56</f>
        <v>1000</v>
      </c>
      <c r="H38" s="824">
        <f>Инвестиции!H56</f>
        <v>1000</v>
      </c>
      <c r="I38" s="824">
        <f>Инвестиции!I56</f>
        <v>450000</v>
      </c>
      <c r="J38" s="824">
        <f>Инвестиции!J56</f>
        <v>550000</v>
      </c>
      <c r="K38" s="824">
        <f>Инвестиции!K56</f>
        <v>650000</v>
      </c>
      <c r="L38" s="824">
        <f>Инвестиции!L56</f>
        <v>0</v>
      </c>
      <c r="M38" s="824">
        <f>Инвестиции!M56</f>
        <v>0</v>
      </c>
      <c r="N38" s="824">
        <f>Инвестиции!N56</f>
        <v>0</v>
      </c>
      <c r="O38" s="824">
        <f>Инвестиции!O56</f>
        <v>0</v>
      </c>
      <c r="P38" s="792">
        <f>SUM(D38:O38)</f>
        <v>1654000</v>
      </c>
    </row>
    <row r="39" spans="1:16" ht="12.75">
      <c r="A39" s="908"/>
      <c r="B39" s="901" t="s">
        <v>674</v>
      </c>
      <c r="D39" s="818">
        <f>D38*Параметры!D38</f>
        <v>0</v>
      </c>
      <c r="E39" s="818">
        <f>E38*Параметры!E38</f>
        <v>180</v>
      </c>
      <c r="F39" s="818">
        <f>F38*Параметры!F38</f>
        <v>180</v>
      </c>
      <c r="G39" s="818">
        <f>G38*Параметры!G38</f>
        <v>180</v>
      </c>
      <c r="H39" s="818">
        <f>H38*Параметры!H38</f>
        <v>180</v>
      </c>
      <c r="I39" s="818">
        <f>I38*Параметры!I38</f>
        <v>81000</v>
      </c>
      <c r="J39" s="818">
        <f>J38*Параметры!J38</f>
        <v>99000</v>
      </c>
      <c r="K39" s="818">
        <f>K38*Параметры!K38</f>
        <v>117000</v>
      </c>
      <c r="L39" s="818">
        <f>L38*Параметры!L38</f>
        <v>0</v>
      </c>
      <c r="M39" s="818">
        <f>M38*Параметры!M38</f>
        <v>0</v>
      </c>
      <c r="N39" s="818">
        <f>N38*Параметры!N38</f>
        <v>0</v>
      </c>
      <c r="O39" s="818">
        <f>O38*Параметры!O38</f>
        <v>0</v>
      </c>
      <c r="P39" s="792">
        <f>SUM(D39:O39)</f>
        <v>297720</v>
      </c>
    </row>
    <row r="40" spans="1:16" ht="14.25">
      <c r="A40" s="895"/>
      <c r="B40" s="838"/>
      <c r="D40" s="853"/>
      <c r="E40" s="853"/>
      <c r="F40" s="853"/>
      <c r="G40" s="853"/>
      <c r="H40" s="853"/>
      <c r="I40" s="853"/>
      <c r="J40" s="853"/>
      <c r="K40" s="853"/>
      <c r="L40" s="853"/>
      <c r="M40" s="853"/>
      <c r="N40" s="853"/>
      <c r="O40" s="853"/>
      <c r="P40" s="839"/>
    </row>
    <row r="41" spans="1:16" ht="12.75">
      <c r="A41" s="909" t="s">
        <v>675</v>
      </c>
      <c r="B41" s="838"/>
      <c r="D41" s="853"/>
      <c r="E41" s="910"/>
      <c r="F41" s="910"/>
      <c r="G41" s="910"/>
      <c r="H41" s="910"/>
      <c r="I41" s="910"/>
      <c r="J41" s="910"/>
      <c r="K41" s="910"/>
      <c r="L41" s="910"/>
      <c r="M41" s="910"/>
      <c r="N41" s="910"/>
      <c r="O41" s="910"/>
      <c r="P41" s="911"/>
    </row>
    <row r="42" spans="1:16" s="816" customFormat="1" ht="12.75">
      <c r="A42" s="816" t="s">
        <v>153</v>
      </c>
      <c r="D42" s="818">
        <f aca="true" t="shared" si="8" ref="D42:O42">C45</f>
        <v>0</v>
      </c>
      <c r="E42" s="818">
        <f t="shared" si="8"/>
        <v>180</v>
      </c>
      <c r="F42" s="818">
        <f t="shared" si="8"/>
        <v>26280</v>
      </c>
      <c r="G42" s="818">
        <f t="shared" si="8"/>
        <v>37890</v>
      </c>
      <c r="H42" s="818">
        <f t="shared" si="8"/>
        <v>64980</v>
      </c>
      <c r="I42" s="818">
        <f t="shared" si="8"/>
        <v>145800</v>
      </c>
      <c r="J42" s="818">
        <f t="shared" si="8"/>
        <v>163800</v>
      </c>
      <c r="K42" s="818">
        <f t="shared" si="8"/>
        <v>181800</v>
      </c>
      <c r="L42" s="818">
        <f t="shared" si="8"/>
        <v>64800</v>
      </c>
      <c r="M42" s="818">
        <f t="shared" si="8"/>
        <v>64800</v>
      </c>
      <c r="N42" s="818">
        <f t="shared" si="8"/>
        <v>64800</v>
      </c>
      <c r="O42" s="818">
        <f t="shared" si="8"/>
        <v>64800</v>
      </c>
      <c r="P42" s="821">
        <f>D42</f>
        <v>0</v>
      </c>
    </row>
    <row r="43" spans="2:16" s="816" customFormat="1" ht="12.75">
      <c r="B43" s="912" t="s">
        <v>676</v>
      </c>
      <c r="C43" s="808"/>
      <c r="D43" s="818">
        <f>D37</f>
        <v>180</v>
      </c>
      <c r="E43" s="818">
        <f aca="true" t="shared" si="9" ref="E43:P43">E37</f>
        <v>26280</v>
      </c>
      <c r="F43" s="818">
        <f t="shared" si="9"/>
        <v>11790</v>
      </c>
      <c r="G43" s="818">
        <f t="shared" si="9"/>
        <v>27270</v>
      </c>
      <c r="H43" s="818">
        <f t="shared" si="9"/>
        <v>81000</v>
      </c>
      <c r="I43" s="818">
        <f t="shared" si="9"/>
        <v>99000</v>
      </c>
      <c r="J43" s="818">
        <f t="shared" si="9"/>
        <v>117000</v>
      </c>
      <c r="K43" s="818">
        <f t="shared" si="9"/>
        <v>0</v>
      </c>
      <c r="L43" s="818">
        <f t="shared" si="9"/>
        <v>0</v>
      </c>
      <c r="M43" s="818">
        <f t="shared" si="9"/>
        <v>0</v>
      </c>
      <c r="N43" s="818">
        <f t="shared" si="9"/>
        <v>0</v>
      </c>
      <c r="O43" s="818">
        <f t="shared" si="9"/>
        <v>0</v>
      </c>
      <c r="P43" s="792">
        <f t="shared" si="9"/>
        <v>362520</v>
      </c>
    </row>
    <row r="44" spans="1:16" s="816" customFormat="1" ht="12.75">
      <c r="A44" s="846"/>
      <c r="B44" s="912" t="s">
        <v>677</v>
      </c>
      <c r="C44" s="808"/>
      <c r="D44" s="818">
        <f>D39</f>
        <v>0</v>
      </c>
      <c r="E44" s="818">
        <f>E39</f>
        <v>180</v>
      </c>
      <c r="F44" s="818">
        <f aca="true" t="shared" si="10" ref="F44:O44">F39</f>
        <v>180</v>
      </c>
      <c r="G44" s="818">
        <f t="shared" si="10"/>
        <v>180</v>
      </c>
      <c r="H44" s="818">
        <f t="shared" si="10"/>
        <v>180</v>
      </c>
      <c r="I44" s="818">
        <f t="shared" si="10"/>
        <v>81000</v>
      </c>
      <c r="J44" s="818">
        <f t="shared" si="10"/>
        <v>99000</v>
      </c>
      <c r="K44" s="818">
        <f t="shared" si="10"/>
        <v>117000</v>
      </c>
      <c r="L44" s="818">
        <f t="shared" si="10"/>
        <v>0</v>
      </c>
      <c r="M44" s="818">
        <f t="shared" si="10"/>
        <v>0</v>
      </c>
      <c r="N44" s="818">
        <f t="shared" si="10"/>
        <v>0</v>
      </c>
      <c r="O44" s="818">
        <f t="shared" si="10"/>
        <v>0</v>
      </c>
      <c r="P44" s="792">
        <f>-P39</f>
        <v>-297720</v>
      </c>
    </row>
    <row r="45" spans="1:16" s="816" customFormat="1" ht="13.5" thickBot="1">
      <c r="A45" s="914" t="s">
        <v>154</v>
      </c>
      <c r="B45" s="915"/>
      <c r="C45" s="916">
        <v>0</v>
      </c>
      <c r="D45" s="917">
        <f>D42+D43-D44</f>
        <v>180</v>
      </c>
      <c r="E45" s="917">
        <f>E42+E43-E44</f>
        <v>26280</v>
      </c>
      <c r="F45" s="917">
        <f aca="true" t="shared" si="11" ref="F45:O45">F42+F43-F44</f>
        <v>37890</v>
      </c>
      <c r="G45" s="917">
        <f t="shared" si="11"/>
        <v>64980</v>
      </c>
      <c r="H45" s="917">
        <f t="shared" si="11"/>
        <v>145800</v>
      </c>
      <c r="I45" s="917">
        <f t="shared" si="11"/>
        <v>163800</v>
      </c>
      <c r="J45" s="917">
        <f t="shared" si="11"/>
        <v>181800</v>
      </c>
      <c r="K45" s="917">
        <f t="shared" si="11"/>
        <v>64800</v>
      </c>
      <c r="L45" s="917">
        <f t="shared" si="11"/>
        <v>64800</v>
      </c>
      <c r="M45" s="917">
        <f t="shared" si="11"/>
        <v>64800</v>
      </c>
      <c r="N45" s="917">
        <f t="shared" si="11"/>
        <v>64800</v>
      </c>
      <c r="O45" s="917">
        <f t="shared" si="11"/>
        <v>64800</v>
      </c>
      <c r="P45" s="920">
        <f>O45</f>
        <v>64800</v>
      </c>
    </row>
    <row r="46" spans="1:16" s="816" customFormat="1" ht="13.5" thickTop="1">
      <c r="A46" s="921"/>
      <c r="B46" s="921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3"/>
    </row>
    <row r="47" spans="1:16" ht="14.25">
      <c r="A47" s="895" t="s">
        <v>678</v>
      </c>
      <c r="B47" s="838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39"/>
    </row>
    <row r="48" spans="1:16" ht="14.25">
      <c r="A48" s="895"/>
      <c r="B48" s="838"/>
      <c r="D48" s="853"/>
      <c r="E48" s="853"/>
      <c r="F48" s="853"/>
      <c r="G48" s="853"/>
      <c r="H48" s="853"/>
      <c r="I48" s="853"/>
      <c r="J48" s="853"/>
      <c r="K48" s="853"/>
      <c r="L48" s="853"/>
      <c r="M48" s="853"/>
      <c r="N48" s="853"/>
      <c r="O48" s="853"/>
      <c r="P48" s="839"/>
    </row>
    <row r="49" spans="1:16" ht="12.75">
      <c r="A49" s="839"/>
      <c r="B49" s="897" t="s">
        <v>679</v>
      </c>
      <c r="D49" s="824">
        <f aca="true" t="shared" si="12" ref="D49:P49">SUM(D50:D52)</f>
        <v>879690</v>
      </c>
      <c r="E49" s="824">
        <f t="shared" si="12"/>
        <v>1180590</v>
      </c>
      <c r="F49" s="824">
        <f t="shared" si="12"/>
        <v>1330450</v>
      </c>
      <c r="G49" s="824">
        <f t="shared" si="12"/>
        <v>1400660</v>
      </c>
      <c r="H49" s="824">
        <f t="shared" si="12"/>
        <v>12133999.999999998</v>
      </c>
      <c r="I49" s="824">
        <f t="shared" si="12"/>
        <v>26262399.999999996</v>
      </c>
      <c r="J49" s="824">
        <f t="shared" si="12"/>
        <v>43384000</v>
      </c>
      <c r="K49" s="824">
        <f t="shared" si="12"/>
        <v>949999.9999999999</v>
      </c>
      <c r="L49" s="824">
        <f t="shared" si="12"/>
        <v>608000</v>
      </c>
      <c r="M49" s="824">
        <f t="shared" si="12"/>
        <v>0</v>
      </c>
      <c r="N49" s="824">
        <f t="shared" si="12"/>
        <v>0</v>
      </c>
      <c r="O49" s="824">
        <f t="shared" si="12"/>
        <v>0</v>
      </c>
      <c r="P49" s="792">
        <f t="shared" si="12"/>
        <v>88129790</v>
      </c>
    </row>
    <row r="50" spans="1:16" ht="12.75">
      <c r="A50" s="839"/>
      <c r="B50" s="924" t="s">
        <v>680</v>
      </c>
      <c r="D50" s="924"/>
      <c r="E50" s="853"/>
      <c r="F50" s="853"/>
      <c r="G50" s="853"/>
      <c r="H50" s="853"/>
      <c r="I50" s="853"/>
      <c r="J50" s="853"/>
      <c r="K50" s="853"/>
      <c r="L50" s="853"/>
      <c r="M50" s="853"/>
      <c r="N50" s="853"/>
      <c r="O50" s="853"/>
      <c r="P50" s="839"/>
    </row>
    <row r="51" spans="1:16" ht="12.75">
      <c r="A51" s="908"/>
      <c r="B51" s="901" t="s">
        <v>681</v>
      </c>
      <c r="D51" s="818">
        <f>('ОДР '!D9-'ОДР '!D17)*(1+Параметры!D38)</f>
        <v>879690</v>
      </c>
      <c r="E51" s="818">
        <f>('ОДР '!E9-'ОДР '!E17)*(1+Параметры!E38)</f>
        <v>1180590</v>
      </c>
      <c r="F51" s="818">
        <f>('ОДР '!F9-'ОДР '!F17)*(1+Параметры!F38)</f>
        <v>1330450</v>
      </c>
      <c r="G51" s="818">
        <f>('ОДР '!G9-'ОДР '!G17)*(1+Параметры!G38)</f>
        <v>1400660</v>
      </c>
      <c r="H51" s="818">
        <f>('ОДР '!H9-'ОДР '!H17)*(1+Параметры!H38)</f>
        <v>12133999.999999998</v>
      </c>
      <c r="I51" s="818">
        <f>('ОДР '!I9-'ОДР '!I17)*(1+Параметры!I38)</f>
        <v>26262399.999999996</v>
      </c>
      <c r="J51" s="818">
        <f>('ОДР '!J9-'ОДР '!J17)*(1+Параметры!J38)</f>
        <v>43384000</v>
      </c>
      <c r="K51" s="818">
        <f>('ОДР '!K9-'ОДР '!K17)*(1+Параметры!K38)</f>
        <v>949999.9999999999</v>
      </c>
      <c r="L51" s="818">
        <f>('ОДР '!L9-'ОДР '!L17)*(1+Параметры!L38)</f>
        <v>608000</v>
      </c>
      <c r="M51" s="818">
        <f>('ОДР '!M9-'ОДР '!M17)*(1+Параметры!M38)</f>
        <v>0</v>
      </c>
      <c r="N51" s="818">
        <f>('ОДР '!N9-'ОДР '!N17)*(1+Параметры!N38)</f>
        <v>0</v>
      </c>
      <c r="O51" s="818">
        <f>('ОДР '!O9-'ОДР '!O17)*(1+Параметры!O38)</f>
        <v>0</v>
      </c>
      <c r="P51" s="821">
        <f>SUM(D51:O51)</f>
        <v>88129790</v>
      </c>
    </row>
    <row r="52" spans="1:16" ht="12.75">
      <c r="A52" s="908"/>
      <c r="B52" s="901" t="s">
        <v>682</v>
      </c>
      <c r="D52" s="818">
        <f>'ОДР '!D18</f>
        <v>0</v>
      </c>
      <c r="E52" s="818">
        <f>'ОДР '!E18</f>
        <v>0</v>
      </c>
      <c r="F52" s="818">
        <f>'ОДР '!F18</f>
        <v>0</v>
      </c>
      <c r="G52" s="818">
        <f>'ОДР '!G18</f>
        <v>0</v>
      </c>
      <c r="H52" s="818">
        <f>'ОДР '!H18</f>
        <v>0</v>
      </c>
      <c r="I52" s="818">
        <f>'ОДР '!I18</f>
        <v>0</v>
      </c>
      <c r="J52" s="818">
        <f>'ОДР '!J18</f>
        <v>0</v>
      </c>
      <c r="K52" s="818">
        <f>'ОДР '!K18</f>
        <v>0</v>
      </c>
      <c r="L52" s="818">
        <f>'ОДР '!L18</f>
        <v>0</v>
      </c>
      <c r="M52" s="818">
        <f>'ОДР '!M18</f>
        <v>0</v>
      </c>
      <c r="N52" s="818">
        <f>'ОДР '!N18</f>
        <v>0</v>
      </c>
      <c r="O52" s="818">
        <f>'ОДР '!O18</f>
        <v>0</v>
      </c>
      <c r="P52" s="821">
        <f>SUM(D52:O52)</f>
        <v>0</v>
      </c>
    </row>
    <row r="53" spans="1:16" ht="12.75">
      <c r="A53" s="839"/>
      <c r="B53" s="897" t="s">
        <v>683</v>
      </c>
      <c r="D53" s="824">
        <f aca="true" t="shared" si="13" ref="D53:O53">SUM(D54:D55)</f>
        <v>668295.2797690871</v>
      </c>
      <c r="E53" s="824">
        <f t="shared" si="13"/>
        <v>897058.6301369864</v>
      </c>
      <c r="F53" s="824">
        <f t="shared" si="13"/>
        <v>1237529.0410958903</v>
      </c>
      <c r="G53" s="824">
        <f t="shared" si="13"/>
        <v>1369430.4109589038</v>
      </c>
      <c r="H53" s="824">
        <f t="shared" si="13"/>
        <v>10468430</v>
      </c>
      <c r="I53" s="824">
        <f t="shared" si="13"/>
        <v>23117013.01369863</v>
      </c>
      <c r="J53" s="824">
        <f t="shared" si="13"/>
        <v>39472219.1780822</v>
      </c>
      <c r="K53" s="824">
        <f t="shared" si="13"/>
        <v>4410147.945205479</v>
      </c>
      <c r="L53" s="824">
        <f t="shared" si="13"/>
        <v>6490219.178082191</v>
      </c>
      <c r="M53" s="824">
        <f t="shared" si="13"/>
        <v>0</v>
      </c>
      <c r="N53" s="824">
        <f t="shared" si="13"/>
        <v>0</v>
      </c>
      <c r="O53" s="824">
        <f t="shared" si="13"/>
        <v>0</v>
      </c>
      <c r="P53" s="821">
        <f>SUM(E53:O53)</f>
        <v>87462047.39726028</v>
      </c>
    </row>
    <row r="54" spans="1:16" ht="12.75">
      <c r="A54" s="908"/>
      <c r="B54" s="901" t="s">
        <v>684</v>
      </c>
      <c r="D54" s="818">
        <f>ОДДС!D11-ОДДС!D18</f>
        <v>668295.2797690871</v>
      </c>
      <c r="E54" s="818">
        <f>ОДДС!E11-ОДДС!E18</f>
        <v>897058.6301369864</v>
      </c>
      <c r="F54" s="818">
        <f>ОДДС!F11-ОДДС!F18</f>
        <v>1237529.0410958903</v>
      </c>
      <c r="G54" s="818">
        <f>ОДДС!G11-ОДДС!G18</f>
        <v>1369430.4109589038</v>
      </c>
      <c r="H54" s="818">
        <f>ОДДС!H11-ОДДС!H18</f>
        <v>10468430</v>
      </c>
      <c r="I54" s="818">
        <f>ОДДС!I11-ОДДС!I18</f>
        <v>23117013.01369863</v>
      </c>
      <c r="J54" s="818">
        <f>ОДДС!J11-ОДДС!J18</f>
        <v>39472219.1780822</v>
      </c>
      <c r="K54" s="818">
        <f>ОДДС!K11-ОДДС!K18</f>
        <v>4410147.945205479</v>
      </c>
      <c r="L54" s="818">
        <f>ОДДС!L11-ОДДС!L18</f>
        <v>6490219.178082191</v>
      </c>
      <c r="M54" s="818">
        <f>ОДДС!M11-ОДДС!M18</f>
        <v>0</v>
      </c>
      <c r="N54" s="818">
        <f>ОДДС!N11-ОДДС!N18</f>
        <v>0</v>
      </c>
      <c r="O54" s="818">
        <f>ОДДС!O11-ОДДС!O18</f>
        <v>0</v>
      </c>
      <c r="P54" s="821">
        <f>SUM(E54:O54)</f>
        <v>87462047.39726028</v>
      </c>
    </row>
    <row r="55" spans="1:16" ht="12.75">
      <c r="A55" s="908"/>
      <c r="B55" s="901" t="s">
        <v>685</v>
      </c>
      <c r="D55" s="818">
        <f>ОДДС!D20</f>
        <v>0</v>
      </c>
      <c r="E55" s="818">
        <f>ОДДС!E20</f>
        <v>0</v>
      </c>
      <c r="F55" s="818">
        <f>ОДДС!F20</f>
        <v>0</v>
      </c>
      <c r="G55" s="818">
        <f>ОДДС!G20</f>
        <v>0</v>
      </c>
      <c r="H55" s="818">
        <f>ОДДС!H20</f>
        <v>0</v>
      </c>
      <c r="I55" s="818">
        <f>ОДДС!I20</f>
        <v>0</v>
      </c>
      <c r="J55" s="818">
        <f>ОДДС!J20</f>
        <v>0</v>
      </c>
      <c r="K55" s="818">
        <f>ОДДС!K20</f>
        <v>0</v>
      </c>
      <c r="L55" s="818">
        <f>ОДДС!L20</f>
        <v>0</v>
      </c>
      <c r="M55" s="818">
        <f>ОДДС!M20</f>
        <v>0</v>
      </c>
      <c r="N55" s="818">
        <f>ОДДС!N20</f>
        <v>0</v>
      </c>
      <c r="O55" s="818">
        <f>ОДДС!O20</f>
        <v>0</v>
      </c>
      <c r="P55" s="821">
        <f>SUM(E55:O55)</f>
        <v>0</v>
      </c>
    </row>
    <row r="56" spans="1:16" ht="14.25">
      <c r="A56" s="895"/>
      <c r="B56" s="838"/>
      <c r="D56" s="954"/>
      <c r="E56" s="853"/>
      <c r="F56" s="853"/>
      <c r="G56" s="853"/>
      <c r="H56" s="853"/>
      <c r="I56" s="853"/>
      <c r="J56" s="853"/>
      <c r="K56" s="853"/>
      <c r="L56" s="853"/>
      <c r="M56" s="853"/>
      <c r="N56" s="853"/>
      <c r="O56" s="853"/>
      <c r="P56" s="839"/>
    </row>
    <row r="57" spans="1:16" ht="12.75">
      <c r="A57" s="909" t="s">
        <v>686</v>
      </c>
      <c r="B57" s="838"/>
      <c r="D57" s="853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910"/>
      <c r="P57" s="911"/>
    </row>
    <row r="58" spans="1:16" s="816" customFormat="1" ht="12.75">
      <c r="A58" s="816" t="s">
        <v>153</v>
      </c>
      <c r="D58" s="818">
        <f aca="true" t="shared" si="14" ref="D58:O58">C61</f>
        <v>86.35578583765113</v>
      </c>
      <c r="E58" s="818">
        <f t="shared" si="14"/>
        <v>32333.008024451497</v>
      </c>
      <c r="F58" s="818">
        <f t="shared" si="14"/>
        <v>75583.55596965694</v>
      </c>
      <c r="G58" s="818">
        <f t="shared" si="14"/>
        <v>89757.93953130074</v>
      </c>
      <c r="H58" s="818">
        <f t="shared" si="14"/>
        <v>94521.77514773913</v>
      </c>
      <c r="I58" s="818">
        <f t="shared" si="14"/>
        <v>348591.77514773887</v>
      </c>
      <c r="J58" s="818">
        <f t="shared" si="14"/>
        <v>828396.5696682865</v>
      </c>
      <c r="K58" s="818">
        <f t="shared" si="14"/>
        <v>1425108.8984354092</v>
      </c>
      <c r="L58" s="818">
        <f t="shared" si="14"/>
        <v>897289.7203532174</v>
      </c>
      <c r="M58" s="818">
        <f t="shared" si="14"/>
        <v>2.0491203408455476</v>
      </c>
      <c r="N58" s="818">
        <f t="shared" si="14"/>
        <v>2.0491203408455476</v>
      </c>
      <c r="O58" s="818">
        <f t="shared" si="14"/>
        <v>2.0491203408455476</v>
      </c>
      <c r="P58" s="821">
        <f>D58</f>
        <v>86.35578583765113</v>
      </c>
    </row>
    <row r="59" spans="2:16" s="816" customFormat="1" ht="12.75">
      <c r="B59" s="912" t="s">
        <v>687</v>
      </c>
      <c r="C59" s="808"/>
      <c r="D59" s="818">
        <f>(D49*Параметры!D38)/(1+Параметры!D38)</f>
        <v>134190</v>
      </c>
      <c r="E59" s="818">
        <f>(E49*Параметры!E38)/(1+Параметры!E38)</f>
        <v>180090</v>
      </c>
      <c r="F59" s="818">
        <f>(F49*Параметры!F38)/(1+Параметры!F38)</f>
        <v>202950</v>
      </c>
      <c r="G59" s="818">
        <f>(G49*Параметры!G38)/(1+Параметры!G38)</f>
        <v>213660</v>
      </c>
      <c r="H59" s="818">
        <f>(H49*Параметры!H38)/(1+Параметры!H38)</f>
        <v>1850949.1525423727</v>
      </c>
      <c r="I59" s="818">
        <f>(I49*Параметры!I38)/(1+Параметры!I38)</f>
        <v>4006128.8135593217</v>
      </c>
      <c r="J59" s="818">
        <f>(J49*Параметры!J38)/(1+Параметры!J38)</f>
        <v>6617898.305084746</v>
      </c>
      <c r="K59" s="818">
        <f>(K49*Параметры!K38)/(1+Параметры!K38)</f>
        <v>144915.2542372881</v>
      </c>
      <c r="L59" s="818">
        <f>(L49*Параметры!L38)/(1+Параметры!L38)</f>
        <v>92745.76271186442</v>
      </c>
      <c r="M59" s="818">
        <f>(M49*Параметры!M38)/(1+Параметры!M38)</f>
        <v>0</v>
      </c>
      <c r="N59" s="818">
        <f>(N49*Параметры!N38)/(1+Параметры!N38)</f>
        <v>0</v>
      </c>
      <c r="O59" s="818">
        <f>(O49*Параметры!O38)/(1+Параметры!O38)</f>
        <v>0</v>
      </c>
      <c r="P59" s="821">
        <f>SUM(E59:O59)</f>
        <v>13309337.288135594</v>
      </c>
    </row>
    <row r="60" spans="1:16" s="816" customFormat="1" ht="12.75">
      <c r="A60" s="846"/>
      <c r="B60" s="912" t="s">
        <v>688</v>
      </c>
      <c r="C60" s="808"/>
      <c r="D60" s="818">
        <f>(D53*Параметры!D38)/(1+Параметры!D38)</f>
        <v>101943.34776138616</v>
      </c>
      <c r="E60" s="818">
        <f>(E53*Параметры!E38)/(1+Параметры!E38)</f>
        <v>136839.45205479456</v>
      </c>
      <c r="F60" s="818">
        <f>(F53*Параметры!F38)/(1+Параметры!F38)</f>
        <v>188775.61643835617</v>
      </c>
      <c r="G60" s="818">
        <f>(G53*Параметры!G38)/(1+Параметры!G38)</f>
        <v>208896.1643835616</v>
      </c>
      <c r="H60" s="818">
        <f>(H53*Параметры!H38)/(1+Параметры!H38)</f>
        <v>1596879.152542373</v>
      </c>
      <c r="I60" s="818">
        <f>(I53*Параметры!I38)/(1+Параметры!I38)</f>
        <v>3526324.019038774</v>
      </c>
      <c r="J60" s="818">
        <f>(J53*Параметры!J38)/(1+Параметры!J38)</f>
        <v>6021185.976317624</v>
      </c>
      <c r="K60" s="818">
        <f>(K53*Параметры!K38)/(1+Параметры!K38)</f>
        <v>672734.4323194799</v>
      </c>
      <c r="L60" s="818">
        <f>(L53*Параметры!L38)/(1+Параметры!L38)</f>
        <v>990033.433944741</v>
      </c>
      <c r="M60" s="818">
        <f>(M53*Параметры!M38)/(1+Параметры!M38)</f>
        <v>0</v>
      </c>
      <c r="N60" s="818">
        <f>(N53*Параметры!N38)/(1+Параметры!N38)</f>
        <v>0</v>
      </c>
      <c r="O60" s="818">
        <f>(O53*Параметры!O38)/(1+Параметры!O38)</f>
        <v>0</v>
      </c>
      <c r="P60" s="821">
        <f>SUM(E60:O60)</f>
        <v>13341668.247039704</v>
      </c>
    </row>
    <row r="61" spans="1:16" s="816" customFormat="1" ht="13.5" thickBot="1">
      <c r="A61" s="914" t="s">
        <v>154</v>
      </c>
      <c r="B61" s="915"/>
      <c r="C61" s="916">
        <f>2500/Параметры!C14</f>
        <v>86.35578583765113</v>
      </c>
      <c r="D61" s="917">
        <f>D58+D59-D60</f>
        <v>32333.008024451497</v>
      </c>
      <c r="E61" s="917">
        <f aca="true" t="shared" si="15" ref="E61:O61">E58+E59-E60</f>
        <v>75583.55596965694</v>
      </c>
      <c r="F61" s="917">
        <f t="shared" si="15"/>
        <v>89757.93953130074</v>
      </c>
      <c r="G61" s="917">
        <f t="shared" si="15"/>
        <v>94521.77514773913</v>
      </c>
      <c r="H61" s="917">
        <f t="shared" si="15"/>
        <v>348591.77514773887</v>
      </c>
      <c r="I61" s="917">
        <f t="shared" si="15"/>
        <v>828396.5696682865</v>
      </c>
      <c r="J61" s="917">
        <f t="shared" si="15"/>
        <v>1425108.8984354092</v>
      </c>
      <c r="K61" s="917">
        <f t="shared" si="15"/>
        <v>897289.7203532174</v>
      </c>
      <c r="L61" s="917">
        <f t="shared" si="15"/>
        <v>2.0491203408455476</v>
      </c>
      <c r="M61" s="917">
        <f t="shared" si="15"/>
        <v>2.0491203408455476</v>
      </c>
      <c r="N61" s="917">
        <f t="shared" si="15"/>
        <v>2.0491203408455476</v>
      </c>
      <c r="O61" s="917">
        <f t="shared" si="15"/>
        <v>2.0491203408455476</v>
      </c>
      <c r="P61" s="920">
        <f>O61</f>
        <v>2.0491203408455476</v>
      </c>
    </row>
    <row r="62" spans="1:16" s="816" customFormat="1" ht="13.5" thickTop="1">
      <c r="A62" s="921"/>
      <c r="B62" s="921"/>
      <c r="D62" s="922"/>
      <c r="E62" s="922"/>
      <c r="F62" s="922"/>
      <c r="G62" s="922"/>
      <c r="H62" s="922"/>
      <c r="I62" s="922"/>
      <c r="J62" s="922"/>
      <c r="K62" s="922"/>
      <c r="L62" s="922"/>
      <c r="M62" s="922"/>
      <c r="N62" s="922"/>
      <c r="O62" s="922"/>
      <c r="P62" s="923"/>
    </row>
    <row r="63" spans="1:16" s="816" customFormat="1" ht="14.25">
      <c r="A63" s="895" t="s">
        <v>689</v>
      </c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26"/>
    </row>
    <row r="64" spans="4:16" s="816" customFormat="1" ht="12.75"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26"/>
    </row>
    <row r="65" spans="1:16" ht="12.75">
      <c r="A65" s="816" t="s">
        <v>690</v>
      </c>
      <c r="B65" s="816"/>
      <c r="D65" s="818">
        <f>C71</f>
        <v>-49464.594127806566</v>
      </c>
      <c r="E65" s="802">
        <f aca="true" t="shared" si="16" ref="E65:P65">D71</f>
        <v>-8296.412558870099</v>
      </c>
      <c r="F65" s="802">
        <f t="shared" si="16"/>
        <v>-23794.829271198832</v>
      </c>
      <c r="G65" s="802">
        <f t="shared" si="16"/>
        <v>-10645.781876777677</v>
      </c>
      <c r="H65" s="802">
        <f t="shared" si="16"/>
        <v>-5607.604068558518</v>
      </c>
      <c r="I65" s="802">
        <f t="shared" si="16"/>
        <v>0</v>
      </c>
      <c r="J65" s="802">
        <f t="shared" si="16"/>
        <v>0</v>
      </c>
      <c r="K65" s="802">
        <f t="shared" si="16"/>
        <v>0</v>
      </c>
      <c r="L65" s="802">
        <f t="shared" si="16"/>
        <v>0</v>
      </c>
      <c r="M65" s="802">
        <f t="shared" si="16"/>
        <v>0</v>
      </c>
      <c r="N65" s="802">
        <f t="shared" si="16"/>
        <v>-6590.666357093105</v>
      </c>
      <c r="O65" s="802">
        <f t="shared" si="16"/>
        <v>-10808.692825632692</v>
      </c>
      <c r="P65" s="792">
        <f t="shared" si="16"/>
        <v>-10808.692825632692</v>
      </c>
    </row>
    <row r="66" spans="1:16" ht="12.75">
      <c r="A66" s="816"/>
      <c r="B66" s="810" t="s">
        <v>688</v>
      </c>
      <c r="D66" s="802">
        <f>D60</f>
        <v>101943.34776138616</v>
      </c>
      <c r="E66" s="802">
        <f aca="true" t="shared" si="17" ref="E66:P66">E60</f>
        <v>136839.45205479456</v>
      </c>
      <c r="F66" s="802">
        <f t="shared" si="17"/>
        <v>188775.61643835617</v>
      </c>
      <c r="G66" s="802">
        <f t="shared" si="17"/>
        <v>208896.1643835616</v>
      </c>
      <c r="H66" s="802">
        <f t="shared" si="17"/>
        <v>1596879.152542373</v>
      </c>
      <c r="I66" s="802">
        <f t="shared" si="17"/>
        <v>3526324.019038774</v>
      </c>
      <c r="J66" s="802">
        <f t="shared" si="17"/>
        <v>6021185.976317624</v>
      </c>
      <c r="K66" s="802">
        <f t="shared" si="17"/>
        <v>672734.4323194799</v>
      </c>
      <c r="L66" s="802">
        <f t="shared" si="17"/>
        <v>990033.433944741</v>
      </c>
      <c r="M66" s="802">
        <f t="shared" si="17"/>
        <v>0</v>
      </c>
      <c r="N66" s="802">
        <f t="shared" si="17"/>
        <v>0</v>
      </c>
      <c r="O66" s="802">
        <f t="shared" si="17"/>
        <v>0</v>
      </c>
      <c r="P66" s="833">
        <f t="shared" si="17"/>
        <v>13341668.247039704</v>
      </c>
    </row>
    <row r="67" spans="1:16" ht="12.75">
      <c r="A67" s="816"/>
      <c r="B67" s="810" t="s">
        <v>691</v>
      </c>
      <c r="D67" s="802">
        <f>D31</f>
        <v>60775.166192449695</v>
      </c>
      <c r="E67" s="802">
        <f aca="true" t="shared" si="18" ref="E67:P67">E31</f>
        <v>152157.8687671233</v>
      </c>
      <c r="F67" s="802">
        <f t="shared" si="18"/>
        <v>175446.56904393501</v>
      </c>
      <c r="G67" s="802">
        <f t="shared" si="18"/>
        <v>203677.98657534245</v>
      </c>
      <c r="H67" s="802">
        <f t="shared" si="18"/>
        <v>1271123.282298584</v>
      </c>
      <c r="I67" s="802">
        <f t="shared" si="18"/>
        <v>2225928.6574645927</v>
      </c>
      <c r="J67" s="802">
        <f t="shared" si="18"/>
        <v>3332289.9684525193</v>
      </c>
      <c r="K67" s="802">
        <f t="shared" si="18"/>
        <v>328218.1317044926</v>
      </c>
      <c r="L67" s="802">
        <f t="shared" si="18"/>
        <v>267865.24262827955</v>
      </c>
      <c r="M67" s="802">
        <f t="shared" si="18"/>
        <v>6590.666357093105</v>
      </c>
      <c r="N67" s="802">
        <f t="shared" si="18"/>
        <v>4218.026468539587</v>
      </c>
      <c r="O67" s="802">
        <f t="shared" si="18"/>
        <v>0</v>
      </c>
      <c r="P67" s="833">
        <f t="shared" si="18"/>
        <v>8028291.565952951</v>
      </c>
    </row>
    <row r="68" spans="1:16" ht="12.75">
      <c r="A68" s="816"/>
      <c r="B68" s="810" t="s">
        <v>677</v>
      </c>
      <c r="D68" s="802">
        <f>D44</f>
        <v>0</v>
      </c>
      <c r="E68" s="802">
        <f aca="true" t="shared" si="19" ref="E68:O68">E44</f>
        <v>180</v>
      </c>
      <c r="F68" s="802">
        <f t="shared" si="19"/>
        <v>180</v>
      </c>
      <c r="G68" s="802">
        <f t="shared" si="19"/>
        <v>180</v>
      </c>
      <c r="H68" s="802">
        <f t="shared" si="19"/>
        <v>180</v>
      </c>
      <c r="I68" s="802">
        <f t="shared" si="19"/>
        <v>81000</v>
      </c>
      <c r="J68" s="802">
        <f t="shared" si="19"/>
        <v>99000</v>
      </c>
      <c r="K68" s="802">
        <f t="shared" si="19"/>
        <v>117000</v>
      </c>
      <c r="L68" s="802">
        <f t="shared" si="19"/>
        <v>0</v>
      </c>
      <c r="M68" s="802">
        <f t="shared" si="19"/>
        <v>0</v>
      </c>
      <c r="N68" s="802">
        <f t="shared" si="19"/>
        <v>0</v>
      </c>
      <c r="O68" s="802">
        <f t="shared" si="19"/>
        <v>0</v>
      </c>
      <c r="P68" s="833">
        <f>-P44</f>
        <v>297720</v>
      </c>
    </row>
    <row r="69" spans="1:16" ht="12.75">
      <c r="A69" s="816"/>
      <c r="B69" s="810" t="s">
        <v>692</v>
      </c>
      <c r="D69" s="802">
        <f>D65+D66-D67-D68</f>
        <v>-8296.412558870099</v>
      </c>
      <c r="E69" s="802">
        <f aca="true" t="shared" si="20" ref="E69:P69">E65+E66-E67-E68</f>
        <v>-23794.829271198832</v>
      </c>
      <c r="F69" s="802">
        <f t="shared" si="20"/>
        <v>-10645.781876777677</v>
      </c>
      <c r="G69" s="802">
        <f t="shared" si="20"/>
        <v>-5607.604068558518</v>
      </c>
      <c r="H69" s="802">
        <f t="shared" si="20"/>
        <v>319968.2661752305</v>
      </c>
      <c r="I69" s="802">
        <f t="shared" si="20"/>
        <v>1219395.3615741814</v>
      </c>
      <c r="J69" s="802">
        <f t="shared" si="20"/>
        <v>2589896.0078651044</v>
      </c>
      <c r="K69" s="802">
        <f t="shared" si="20"/>
        <v>227516.30061498727</v>
      </c>
      <c r="L69" s="802">
        <f t="shared" si="20"/>
        <v>722168.1913164614</v>
      </c>
      <c r="M69" s="802">
        <f t="shared" si="20"/>
        <v>-6590.666357093105</v>
      </c>
      <c r="N69" s="802">
        <f t="shared" si="20"/>
        <v>-10808.692825632692</v>
      </c>
      <c r="O69" s="802">
        <f t="shared" si="20"/>
        <v>-10808.692825632692</v>
      </c>
      <c r="P69" s="792">
        <f t="shared" si="20"/>
        <v>5004847.98826112</v>
      </c>
    </row>
    <row r="70" spans="1:16" ht="12.75">
      <c r="A70" s="816"/>
      <c r="B70" s="810" t="s">
        <v>693</v>
      </c>
      <c r="D70" s="802">
        <f aca="true" t="shared" si="21" ref="D70:P70">IF(D69&lt;0,0,D69)</f>
        <v>0</v>
      </c>
      <c r="E70" s="802">
        <f t="shared" si="21"/>
        <v>0</v>
      </c>
      <c r="F70" s="802">
        <f t="shared" si="21"/>
        <v>0</v>
      </c>
      <c r="G70" s="802">
        <f t="shared" si="21"/>
        <v>0</v>
      </c>
      <c r="H70" s="802">
        <f t="shared" si="21"/>
        <v>319968.2661752305</v>
      </c>
      <c r="I70" s="802">
        <f t="shared" si="21"/>
        <v>1219395.3615741814</v>
      </c>
      <c r="J70" s="802">
        <f t="shared" si="21"/>
        <v>2589896.0078651044</v>
      </c>
      <c r="K70" s="802">
        <f t="shared" si="21"/>
        <v>227516.30061498727</v>
      </c>
      <c r="L70" s="802">
        <f t="shared" si="21"/>
        <v>722168.1913164614</v>
      </c>
      <c r="M70" s="802">
        <f t="shared" si="21"/>
        <v>0</v>
      </c>
      <c r="N70" s="802">
        <f t="shared" si="21"/>
        <v>0</v>
      </c>
      <c r="O70" s="802">
        <f t="shared" si="21"/>
        <v>0</v>
      </c>
      <c r="P70" s="792">
        <f t="shared" si="21"/>
        <v>5004847.98826112</v>
      </c>
    </row>
    <row r="71" spans="1:16" s="816" customFormat="1" ht="13.5" thickBot="1">
      <c r="A71" s="925" t="s">
        <v>261</v>
      </c>
      <c r="B71" s="915"/>
      <c r="C71" s="916">
        <f>-1432000/Параметры!C14</f>
        <v>-49464.594127806566</v>
      </c>
      <c r="D71" s="917">
        <f>D69-D70</f>
        <v>-8296.412558870099</v>
      </c>
      <c r="E71" s="917">
        <f aca="true" t="shared" si="22" ref="E71:P71">E69-E70</f>
        <v>-23794.829271198832</v>
      </c>
      <c r="F71" s="917">
        <f t="shared" si="22"/>
        <v>-10645.781876777677</v>
      </c>
      <c r="G71" s="917">
        <f t="shared" si="22"/>
        <v>-5607.604068558518</v>
      </c>
      <c r="H71" s="917">
        <f t="shared" si="22"/>
        <v>0</v>
      </c>
      <c r="I71" s="917">
        <f t="shared" si="22"/>
        <v>0</v>
      </c>
      <c r="J71" s="917">
        <f t="shared" si="22"/>
        <v>0</v>
      </c>
      <c r="K71" s="917">
        <f t="shared" si="22"/>
        <v>0</v>
      </c>
      <c r="L71" s="917">
        <f t="shared" si="22"/>
        <v>0</v>
      </c>
      <c r="M71" s="917">
        <f t="shared" si="22"/>
        <v>-6590.666357093105</v>
      </c>
      <c r="N71" s="917">
        <f t="shared" si="22"/>
        <v>-10808.692825632692</v>
      </c>
      <c r="O71" s="917">
        <f t="shared" si="22"/>
        <v>-10808.692825632692</v>
      </c>
      <c r="P71" s="920">
        <f t="shared" si="22"/>
        <v>0</v>
      </c>
    </row>
    <row r="72" spans="2:8" s="36" customFormat="1" ht="13.5" thickTop="1">
      <c r="B72" s="816"/>
      <c r="C72" s="926"/>
      <c r="D72" s="926"/>
      <c r="E72" s="926"/>
      <c r="F72" s="816"/>
      <c r="G72" s="818"/>
      <c r="H72" s="818"/>
    </row>
    <row r="73" spans="1:16" ht="12.75">
      <c r="A73" s="816"/>
      <c r="B73" s="810" t="s">
        <v>694</v>
      </c>
      <c r="C73" s="838">
        <f>IF((C66-C67-C68)&gt;0,(C66-C67-C68),0)</f>
        <v>0</v>
      </c>
      <c r="D73" s="802">
        <f>IF((D66-D67-D68)&gt;0,(D66-D67-D68),0)</f>
        <v>41168.18156893647</v>
      </c>
      <c r="E73" s="802">
        <f>IF((E66-E67-E68)&gt;0,(E66-E67-E68),0)</f>
        <v>0</v>
      </c>
      <c r="F73" s="802">
        <f aca="true" t="shared" si="23" ref="F73:N73">IF((F66-F67-F68)&gt;0,(F66-F67-F68),0)</f>
        <v>13149.047394421155</v>
      </c>
      <c r="G73" s="802">
        <f t="shared" si="23"/>
        <v>5038.1778082191595</v>
      </c>
      <c r="H73" s="802">
        <f t="shared" si="23"/>
        <v>325575.87024378893</v>
      </c>
      <c r="I73" s="802">
        <f t="shared" si="23"/>
        <v>1219395.3615741814</v>
      </c>
      <c r="J73" s="802">
        <f t="shared" si="23"/>
        <v>2589896.0078651044</v>
      </c>
      <c r="K73" s="802">
        <f t="shared" si="23"/>
        <v>227516.30061498727</v>
      </c>
      <c r="L73" s="802">
        <f t="shared" si="23"/>
        <v>722168.1913164614</v>
      </c>
      <c r="M73" s="802">
        <f t="shared" si="23"/>
        <v>0</v>
      </c>
      <c r="N73" s="802">
        <f t="shared" si="23"/>
        <v>0</v>
      </c>
      <c r="O73" s="802">
        <f>IF((O66-O67-O68)&gt;0,(O66-O67-O68),0)</f>
        <v>0</v>
      </c>
      <c r="P73" s="792">
        <f>IF((P66-P67-P68)&gt;0,(P66-P67-P68),0)</f>
        <v>5015656.681086753</v>
      </c>
    </row>
    <row r="74" spans="1:16" ht="12.75">
      <c r="A74" s="816"/>
      <c r="B74" s="810" t="s">
        <v>695</v>
      </c>
      <c r="C74" s="838">
        <f>IF((C66-C67-C68)&lt;0,-(C66-C67-C68),0)</f>
        <v>0</v>
      </c>
      <c r="D74" s="802">
        <f>IF((D66-D67-D68)&lt;0,-(D66-D67-D68),0)</f>
        <v>0</v>
      </c>
      <c r="E74" s="802">
        <f aca="true" t="shared" si="24" ref="E74:O74">IF((E66-E67-E68)&lt;0,-(E66-E67-E68),0)</f>
        <v>15498.416712328733</v>
      </c>
      <c r="F74" s="802">
        <f t="shared" si="24"/>
        <v>0</v>
      </c>
      <c r="G74" s="802">
        <f t="shared" si="24"/>
        <v>0</v>
      </c>
      <c r="H74" s="802">
        <f t="shared" si="24"/>
        <v>0</v>
      </c>
      <c r="I74" s="802">
        <f t="shared" si="24"/>
        <v>0</v>
      </c>
      <c r="J74" s="802">
        <f t="shared" si="24"/>
        <v>0</v>
      </c>
      <c r="K74" s="802">
        <f t="shared" si="24"/>
        <v>0</v>
      </c>
      <c r="L74" s="802">
        <f t="shared" si="24"/>
        <v>0</v>
      </c>
      <c r="M74" s="802">
        <f t="shared" si="24"/>
        <v>6590.666357093105</v>
      </c>
      <c r="N74" s="802">
        <f t="shared" si="24"/>
        <v>4218.026468539587</v>
      </c>
      <c r="O74" s="802">
        <f t="shared" si="24"/>
        <v>0</v>
      </c>
      <c r="P74" s="792">
        <f>IF((P66-P67-P68)&lt;0,-(P66-P67-P68),0)</f>
        <v>0</v>
      </c>
    </row>
    <row r="75" spans="1:16" ht="12.75">
      <c r="A75" s="826"/>
      <c r="B75" s="835" t="s">
        <v>696</v>
      </c>
      <c r="C75" s="868">
        <f aca="true" t="shared" si="25" ref="C75:P75">C70</f>
        <v>0</v>
      </c>
      <c r="D75" s="833">
        <f t="shared" si="25"/>
        <v>0</v>
      </c>
      <c r="E75" s="833">
        <f t="shared" si="25"/>
        <v>0</v>
      </c>
      <c r="F75" s="833">
        <f t="shared" si="25"/>
        <v>0</v>
      </c>
      <c r="G75" s="833">
        <f t="shared" si="25"/>
        <v>0</v>
      </c>
      <c r="H75" s="833">
        <f t="shared" si="25"/>
        <v>319968.2661752305</v>
      </c>
      <c r="I75" s="833">
        <f t="shared" si="25"/>
        <v>1219395.3615741814</v>
      </c>
      <c r="J75" s="833">
        <f t="shared" si="25"/>
        <v>2589896.0078651044</v>
      </c>
      <c r="K75" s="833">
        <f t="shared" si="25"/>
        <v>227516.30061498727</v>
      </c>
      <c r="L75" s="833">
        <f t="shared" si="25"/>
        <v>722168.1913164614</v>
      </c>
      <c r="M75" s="833">
        <f t="shared" si="25"/>
        <v>0</v>
      </c>
      <c r="N75" s="833">
        <f t="shared" si="25"/>
        <v>0</v>
      </c>
      <c r="O75" s="833">
        <f t="shared" si="25"/>
        <v>0</v>
      </c>
      <c r="P75" s="792">
        <f t="shared" si="25"/>
        <v>5004847.98826112</v>
      </c>
    </row>
    <row r="76" spans="1:16" ht="12.75">
      <c r="A76" s="826"/>
      <c r="B76" s="835" t="s">
        <v>697</v>
      </c>
      <c r="C76" s="1109">
        <f aca="true" t="shared" si="26" ref="C76:P76">IF(C71&lt;0,-C71,0)</f>
        <v>49464.594127806566</v>
      </c>
      <c r="D76" s="833">
        <f t="shared" si="26"/>
        <v>8296.412558870099</v>
      </c>
      <c r="E76" s="833">
        <f t="shared" si="26"/>
        <v>23794.829271198832</v>
      </c>
      <c r="F76" s="833">
        <f t="shared" si="26"/>
        <v>10645.781876777677</v>
      </c>
      <c r="G76" s="833">
        <f t="shared" si="26"/>
        <v>5607.604068558518</v>
      </c>
      <c r="H76" s="833">
        <f t="shared" si="26"/>
        <v>0</v>
      </c>
      <c r="I76" s="833">
        <f t="shared" si="26"/>
        <v>0</v>
      </c>
      <c r="J76" s="833">
        <f t="shared" si="26"/>
        <v>0</v>
      </c>
      <c r="K76" s="833">
        <f t="shared" si="26"/>
        <v>0</v>
      </c>
      <c r="L76" s="833">
        <f t="shared" si="26"/>
        <v>0</v>
      </c>
      <c r="M76" s="833">
        <f t="shared" si="26"/>
        <v>6590.666357093105</v>
      </c>
      <c r="N76" s="833">
        <f t="shared" si="26"/>
        <v>10808.692825632692</v>
      </c>
      <c r="O76" s="833">
        <f t="shared" si="26"/>
        <v>10808.692825632692</v>
      </c>
      <c r="P76" s="792">
        <f t="shared" si="26"/>
        <v>0</v>
      </c>
    </row>
    <row r="77" spans="1:16" ht="12.75">
      <c r="A77" s="836"/>
      <c r="B77" s="836"/>
      <c r="E77" s="868"/>
      <c r="F77" s="839"/>
      <c r="G77" s="839"/>
      <c r="H77" s="839"/>
      <c r="I77" s="839"/>
      <c r="J77" s="839"/>
      <c r="K77" s="839"/>
      <c r="L77" s="839"/>
      <c r="M77" s="839"/>
      <c r="N77" s="839"/>
      <c r="O77" s="839"/>
      <c r="P77" s="927"/>
    </row>
    <row r="78" spans="1:16" ht="12.75">
      <c r="A78" s="836"/>
      <c r="B78" s="836"/>
      <c r="E78" s="868"/>
      <c r="F78" s="839"/>
      <c r="G78" s="839"/>
      <c r="H78" s="839"/>
      <c r="I78" s="839"/>
      <c r="J78" s="839"/>
      <c r="K78" s="839"/>
      <c r="L78" s="839"/>
      <c r="M78" s="839"/>
      <c r="N78" s="839"/>
      <c r="O78" s="839"/>
      <c r="P78" s="927"/>
    </row>
    <row r="79" spans="1:16" ht="12.75">
      <c r="A79" s="836"/>
      <c r="B79" s="836"/>
      <c r="E79" s="868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927"/>
    </row>
    <row r="80" spans="1:16" ht="12.75">
      <c r="A80" s="836"/>
      <c r="B80" s="836"/>
      <c r="E80" s="868"/>
      <c r="F80" s="839"/>
      <c r="G80" s="839"/>
      <c r="H80" s="839"/>
      <c r="I80" s="839"/>
      <c r="J80" s="839"/>
      <c r="K80" s="839"/>
      <c r="L80" s="839"/>
      <c r="M80" s="839"/>
      <c r="N80" s="839"/>
      <c r="O80" s="839"/>
      <c r="P80" s="927"/>
    </row>
    <row r="81" spans="1:16" ht="12.75">
      <c r="A81" s="836"/>
      <c r="B81" s="836"/>
      <c r="E81" s="868"/>
      <c r="F81" s="839"/>
      <c r="G81" s="839"/>
      <c r="H81" s="839"/>
      <c r="I81" s="839"/>
      <c r="J81" s="839"/>
      <c r="K81" s="839"/>
      <c r="L81" s="839"/>
      <c r="M81" s="839"/>
      <c r="N81" s="839"/>
      <c r="O81" s="839"/>
      <c r="P81" s="927"/>
    </row>
    <row r="82" spans="1:16" ht="12.75">
      <c r="A82" s="836"/>
      <c r="B82" s="836"/>
      <c r="E82" s="868"/>
      <c r="F82" s="839"/>
      <c r="G82" s="839"/>
      <c r="H82" s="839"/>
      <c r="I82" s="839"/>
      <c r="J82" s="839"/>
      <c r="K82" s="839"/>
      <c r="L82" s="839"/>
      <c r="M82" s="839"/>
      <c r="N82" s="839"/>
      <c r="O82" s="839"/>
      <c r="P82" s="927"/>
    </row>
    <row r="83" spans="1:16" ht="12.75">
      <c r="A83" s="836"/>
      <c r="B83" s="836"/>
      <c r="E83" s="868"/>
      <c r="F83" s="839"/>
      <c r="G83" s="839"/>
      <c r="H83" s="839"/>
      <c r="I83" s="839"/>
      <c r="J83" s="839"/>
      <c r="K83" s="839"/>
      <c r="L83" s="839"/>
      <c r="M83" s="839"/>
      <c r="N83" s="839"/>
      <c r="O83" s="839"/>
      <c r="P83" s="927"/>
    </row>
    <row r="84" spans="1:16" ht="12.75">
      <c r="A84" s="836"/>
      <c r="B84" s="836"/>
      <c r="E84" s="868"/>
      <c r="F84" s="839"/>
      <c r="G84" s="839"/>
      <c r="H84" s="839"/>
      <c r="I84" s="839"/>
      <c r="J84" s="839"/>
      <c r="K84" s="839"/>
      <c r="L84" s="839"/>
      <c r="M84" s="839"/>
      <c r="N84" s="839"/>
      <c r="O84" s="839"/>
      <c r="P84" s="927"/>
    </row>
    <row r="85" spans="1:16" ht="12.75">
      <c r="A85" s="836"/>
      <c r="B85" s="836"/>
      <c r="E85" s="868"/>
      <c r="F85" s="839"/>
      <c r="G85" s="839"/>
      <c r="H85" s="839"/>
      <c r="I85" s="839"/>
      <c r="J85" s="839"/>
      <c r="K85" s="839"/>
      <c r="L85" s="839"/>
      <c r="M85" s="839"/>
      <c r="N85" s="839"/>
      <c r="O85" s="839"/>
      <c r="P85" s="927"/>
    </row>
    <row r="86" spans="1:16" ht="12.75">
      <c r="A86" s="836"/>
      <c r="B86" s="836"/>
      <c r="E86" s="868"/>
      <c r="F86" s="839"/>
      <c r="G86" s="839"/>
      <c r="H86" s="839"/>
      <c r="I86" s="839"/>
      <c r="J86" s="839"/>
      <c r="K86" s="839"/>
      <c r="L86" s="839"/>
      <c r="M86" s="839"/>
      <c r="N86" s="839"/>
      <c r="O86" s="839"/>
      <c r="P86" s="927"/>
    </row>
    <row r="87" spans="1:16" ht="12.75">
      <c r="A87" s="836"/>
      <c r="B87" s="836"/>
      <c r="E87" s="868"/>
      <c r="F87" s="839"/>
      <c r="G87" s="839"/>
      <c r="H87" s="839"/>
      <c r="I87" s="839"/>
      <c r="J87" s="839"/>
      <c r="K87" s="839"/>
      <c r="L87" s="839"/>
      <c r="M87" s="839"/>
      <c r="N87" s="839"/>
      <c r="O87" s="839"/>
      <c r="P87" s="927"/>
    </row>
    <row r="88" spans="1:16" ht="12.75">
      <c r="A88" s="836"/>
      <c r="B88" s="836"/>
      <c r="E88" s="868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927"/>
    </row>
    <row r="89" spans="1:16" ht="12.75">
      <c r="A89" s="836"/>
      <c r="B89" s="836"/>
      <c r="E89" s="868"/>
      <c r="F89" s="839"/>
      <c r="G89" s="839"/>
      <c r="H89" s="839"/>
      <c r="I89" s="839"/>
      <c r="J89" s="839"/>
      <c r="K89" s="839"/>
      <c r="L89" s="839"/>
      <c r="M89" s="839"/>
      <c r="N89" s="839"/>
      <c r="O89" s="839"/>
      <c r="P89" s="927"/>
    </row>
    <row r="90" spans="1:16" ht="12.75">
      <c r="A90" s="836"/>
      <c r="B90" s="836"/>
      <c r="E90" s="868"/>
      <c r="F90" s="839"/>
      <c r="G90" s="839"/>
      <c r="H90" s="839"/>
      <c r="I90" s="839"/>
      <c r="J90" s="839"/>
      <c r="K90" s="839"/>
      <c r="L90" s="839"/>
      <c r="M90" s="839"/>
      <c r="N90" s="839"/>
      <c r="O90" s="839"/>
      <c r="P90" s="927"/>
    </row>
    <row r="91" spans="1:16" ht="12.75">
      <c r="A91" s="836"/>
      <c r="B91" s="836"/>
      <c r="E91" s="868"/>
      <c r="F91" s="839"/>
      <c r="G91" s="839"/>
      <c r="H91" s="839"/>
      <c r="I91" s="839"/>
      <c r="J91" s="839"/>
      <c r="K91" s="839"/>
      <c r="L91" s="839"/>
      <c r="M91" s="839"/>
      <c r="N91" s="839"/>
      <c r="O91" s="839"/>
      <c r="P91" s="927"/>
    </row>
    <row r="92" spans="1:16" ht="12.75">
      <c r="A92" s="836"/>
      <c r="B92" s="836"/>
      <c r="E92" s="868"/>
      <c r="F92" s="839"/>
      <c r="G92" s="839"/>
      <c r="H92" s="839"/>
      <c r="I92" s="839"/>
      <c r="J92" s="839"/>
      <c r="K92" s="839"/>
      <c r="L92" s="839"/>
      <c r="M92" s="839"/>
      <c r="N92" s="839"/>
      <c r="O92" s="839"/>
      <c r="P92" s="927"/>
    </row>
    <row r="93" spans="1:16" ht="12.75">
      <c r="A93" s="836"/>
      <c r="B93" s="836"/>
      <c r="E93" s="868"/>
      <c r="F93" s="839"/>
      <c r="G93" s="839"/>
      <c r="H93" s="839"/>
      <c r="I93" s="839"/>
      <c r="J93" s="839"/>
      <c r="K93" s="839"/>
      <c r="L93" s="839"/>
      <c r="M93" s="839"/>
      <c r="N93" s="839"/>
      <c r="O93" s="839"/>
      <c r="P93" s="927"/>
    </row>
    <row r="94" spans="1:16" ht="12.75">
      <c r="A94" s="836"/>
      <c r="B94" s="836"/>
      <c r="E94" s="868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927"/>
    </row>
    <row r="95" spans="1:16" ht="12.75">
      <c r="A95" s="836"/>
      <c r="B95" s="836"/>
      <c r="E95" s="868"/>
      <c r="F95" s="839"/>
      <c r="G95" s="839"/>
      <c r="H95" s="839"/>
      <c r="I95" s="839"/>
      <c r="J95" s="839"/>
      <c r="K95" s="839"/>
      <c r="L95" s="839"/>
      <c r="M95" s="839"/>
      <c r="N95" s="839"/>
      <c r="O95" s="839"/>
      <c r="P95" s="927"/>
    </row>
    <row r="96" spans="1:16" ht="12.75">
      <c r="A96" s="836"/>
      <c r="B96" s="836"/>
      <c r="E96" s="868"/>
      <c r="F96" s="839"/>
      <c r="G96" s="839"/>
      <c r="H96" s="839"/>
      <c r="I96" s="839"/>
      <c r="J96" s="839"/>
      <c r="K96" s="839"/>
      <c r="L96" s="839"/>
      <c r="M96" s="839"/>
      <c r="N96" s="839"/>
      <c r="O96" s="839"/>
      <c r="P96" s="927"/>
    </row>
    <row r="97" spans="1:16" ht="12.75">
      <c r="A97" s="836"/>
      <c r="B97" s="836"/>
      <c r="E97" s="868"/>
      <c r="F97" s="839"/>
      <c r="G97" s="839"/>
      <c r="H97" s="839"/>
      <c r="I97" s="839"/>
      <c r="J97" s="839"/>
      <c r="K97" s="839"/>
      <c r="L97" s="839"/>
      <c r="M97" s="839"/>
      <c r="N97" s="839"/>
      <c r="O97" s="839"/>
      <c r="P97" s="927"/>
    </row>
    <row r="98" spans="1:16" ht="12.75">
      <c r="A98" s="836"/>
      <c r="B98" s="836"/>
      <c r="E98" s="868"/>
      <c r="F98" s="839"/>
      <c r="G98" s="839"/>
      <c r="H98" s="839"/>
      <c r="I98" s="839"/>
      <c r="J98" s="839"/>
      <c r="K98" s="839"/>
      <c r="L98" s="839"/>
      <c r="M98" s="839"/>
      <c r="N98" s="839"/>
      <c r="O98" s="839"/>
      <c r="P98" s="927"/>
    </row>
    <row r="99" spans="1:16" ht="12.75">
      <c r="A99" s="836"/>
      <c r="B99" s="836"/>
      <c r="E99" s="868"/>
      <c r="F99" s="839"/>
      <c r="G99" s="839"/>
      <c r="H99" s="839"/>
      <c r="I99" s="839"/>
      <c r="J99" s="839"/>
      <c r="K99" s="839"/>
      <c r="L99" s="839"/>
      <c r="M99" s="839"/>
      <c r="N99" s="839"/>
      <c r="O99" s="839"/>
      <c r="P99" s="927"/>
    </row>
    <row r="100" spans="1:16" ht="12.75">
      <c r="A100" s="836"/>
      <c r="B100" s="836"/>
      <c r="E100" s="868"/>
      <c r="F100" s="839"/>
      <c r="G100" s="839"/>
      <c r="H100" s="839"/>
      <c r="I100" s="839"/>
      <c r="J100" s="839"/>
      <c r="K100" s="839"/>
      <c r="L100" s="839"/>
      <c r="M100" s="839"/>
      <c r="N100" s="839"/>
      <c r="O100" s="839"/>
      <c r="P100" s="927"/>
    </row>
    <row r="101" spans="1:16" ht="12.75">
      <c r="A101" s="836"/>
      <c r="B101" s="836"/>
      <c r="E101" s="868"/>
      <c r="F101" s="839"/>
      <c r="G101" s="839"/>
      <c r="H101" s="839"/>
      <c r="I101" s="839"/>
      <c r="J101" s="839"/>
      <c r="K101" s="839"/>
      <c r="L101" s="839"/>
      <c r="M101" s="839"/>
      <c r="N101" s="839"/>
      <c r="O101" s="839"/>
      <c r="P101" s="927"/>
    </row>
    <row r="102" spans="1:16" ht="12.75">
      <c r="A102" s="836"/>
      <c r="B102" s="836"/>
      <c r="E102" s="868"/>
      <c r="F102" s="839"/>
      <c r="G102" s="839"/>
      <c r="H102" s="839"/>
      <c r="I102" s="839"/>
      <c r="J102" s="839"/>
      <c r="K102" s="839"/>
      <c r="L102" s="839"/>
      <c r="M102" s="839"/>
      <c r="N102" s="839"/>
      <c r="O102" s="839"/>
      <c r="P102" s="927"/>
    </row>
    <row r="103" spans="1:16" ht="12.75">
      <c r="A103" s="836"/>
      <c r="B103" s="836"/>
      <c r="E103" s="868"/>
      <c r="F103" s="839"/>
      <c r="G103" s="839"/>
      <c r="H103" s="839"/>
      <c r="I103" s="839"/>
      <c r="J103" s="839"/>
      <c r="K103" s="839"/>
      <c r="L103" s="839"/>
      <c r="M103" s="839"/>
      <c r="N103" s="839"/>
      <c r="O103" s="839"/>
      <c r="P103" s="927"/>
    </row>
    <row r="104" spans="1:16" ht="12.75">
      <c r="A104" s="836"/>
      <c r="B104" s="836"/>
      <c r="E104" s="868"/>
      <c r="F104" s="839"/>
      <c r="G104" s="839"/>
      <c r="H104" s="839"/>
      <c r="I104" s="839"/>
      <c r="J104" s="839"/>
      <c r="K104" s="839"/>
      <c r="L104" s="839"/>
      <c r="M104" s="839"/>
      <c r="N104" s="839"/>
      <c r="O104" s="839"/>
      <c r="P104" s="927"/>
    </row>
    <row r="105" spans="1:16" ht="12.75">
      <c r="A105" s="836"/>
      <c r="B105" s="836"/>
      <c r="E105" s="868"/>
      <c r="F105" s="839"/>
      <c r="G105" s="839"/>
      <c r="H105" s="839"/>
      <c r="I105" s="839"/>
      <c r="J105" s="839"/>
      <c r="K105" s="839"/>
      <c r="L105" s="839"/>
      <c r="M105" s="839"/>
      <c r="N105" s="839"/>
      <c r="O105" s="839"/>
      <c r="P105" s="927"/>
    </row>
    <row r="106" spans="1:16" ht="12.75">
      <c r="A106" s="836"/>
      <c r="B106" s="836"/>
      <c r="E106" s="868"/>
      <c r="F106" s="839"/>
      <c r="G106" s="839"/>
      <c r="H106" s="839"/>
      <c r="I106" s="839"/>
      <c r="J106" s="839"/>
      <c r="K106" s="839"/>
      <c r="L106" s="839"/>
      <c r="M106" s="839"/>
      <c r="N106" s="839"/>
      <c r="O106" s="839"/>
      <c r="P106" s="927"/>
    </row>
    <row r="107" spans="1:16" ht="12.75">
      <c r="A107" s="836"/>
      <c r="B107" s="836"/>
      <c r="E107" s="868"/>
      <c r="F107" s="839"/>
      <c r="G107" s="839"/>
      <c r="H107" s="839"/>
      <c r="I107" s="839"/>
      <c r="J107" s="839"/>
      <c r="K107" s="839"/>
      <c r="L107" s="839"/>
      <c r="M107" s="839"/>
      <c r="N107" s="839"/>
      <c r="O107" s="839"/>
      <c r="P107" s="927"/>
    </row>
    <row r="108" spans="1:16" ht="12.75">
      <c r="A108" s="836"/>
      <c r="B108" s="836"/>
      <c r="E108" s="868"/>
      <c r="F108" s="839"/>
      <c r="G108" s="839"/>
      <c r="H108" s="839"/>
      <c r="I108" s="839"/>
      <c r="J108" s="839"/>
      <c r="K108" s="839"/>
      <c r="L108" s="839"/>
      <c r="M108" s="839"/>
      <c r="N108" s="839"/>
      <c r="O108" s="839"/>
      <c r="P108" s="927"/>
    </row>
    <row r="109" spans="1:16" ht="12.75">
      <c r="A109" s="836"/>
      <c r="B109" s="836"/>
      <c r="E109" s="868"/>
      <c r="F109" s="839"/>
      <c r="G109" s="839"/>
      <c r="H109" s="839"/>
      <c r="I109" s="839"/>
      <c r="J109" s="839"/>
      <c r="K109" s="839"/>
      <c r="L109" s="839"/>
      <c r="M109" s="839"/>
      <c r="N109" s="839"/>
      <c r="O109" s="839"/>
      <c r="P109" s="927"/>
    </row>
    <row r="110" spans="1:16" ht="12.75">
      <c r="A110" s="836"/>
      <c r="B110" s="836"/>
      <c r="E110" s="868"/>
      <c r="F110" s="839"/>
      <c r="G110" s="839"/>
      <c r="H110" s="839"/>
      <c r="I110" s="839"/>
      <c r="J110" s="839"/>
      <c r="K110" s="839"/>
      <c r="L110" s="839"/>
      <c r="M110" s="839"/>
      <c r="N110" s="839"/>
      <c r="O110" s="839"/>
      <c r="P110" s="927"/>
    </row>
    <row r="111" spans="1:16" ht="12.75">
      <c r="A111" s="836"/>
      <c r="B111" s="836"/>
      <c r="E111" s="868"/>
      <c r="F111" s="839"/>
      <c r="G111" s="839"/>
      <c r="H111" s="839"/>
      <c r="I111" s="839"/>
      <c r="J111" s="839"/>
      <c r="K111" s="839"/>
      <c r="L111" s="839"/>
      <c r="M111" s="839"/>
      <c r="N111" s="839"/>
      <c r="O111" s="839"/>
      <c r="P111" s="927"/>
    </row>
    <row r="112" spans="1:16" ht="12.75">
      <c r="A112" s="836"/>
      <c r="B112" s="836"/>
      <c r="E112" s="868"/>
      <c r="F112" s="839"/>
      <c r="G112" s="839"/>
      <c r="H112" s="839"/>
      <c r="I112" s="839"/>
      <c r="J112" s="839"/>
      <c r="K112" s="839"/>
      <c r="L112" s="839"/>
      <c r="M112" s="839"/>
      <c r="N112" s="839"/>
      <c r="O112" s="839"/>
      <c r="P112" s="927"/>
    </row>
    <row r="113" spans="1:16" ht="12.75">
      <c r="A113" s="836"/>
      <c r="B113" s="836"/>
      <c r="E113" s="868"/>
      <c r="F113" s="839"/>
      <c r="G113" s="839"/>
      <c r="H113" s="839"/>
      <c r="I113" s="839"/>
      <c r="J113" s="839"/>
      <c r="K113" s="839"/>
      <c r="L113" s="839"/>
      <c r="M113" s="839"/>
      <c r="N113" s="839"/>
      <c r="O113" s="839"/>
      <c r="P113" s="927"/>
    </row>
    <row r="114" spans="1:16" ht="12.75">
      <c r="A114" s="836"/>
      <c r="B114" s="836"/>
      <c r="E114" s="868"/>
      <c r="F114" s="839"/>
      <c r="G114" s="839"/>
      <c r="H114" s="839"/>
      <c r="I114" s="839"/>
      <c r="J114" s="839"/>
      <c r="K114" s="839"/>
      <c r="L114" s="839"/>
      <c r="M114" s="839"/>
      <c r="N114" s="839"/>
      <c r="O114" s="839"/>
      <c r="P114" s="927"/>
    </row>
    <row r="115" spans="1:16" ht="12.75">
      <c r="A115" s="836"/>
      <c r="B115" s="836"/>
      <c r="E115" s="868"/>
      <c r="F115" s="839"/>
      <c r="G115" s="839"/>
      <c r="H115" s="839"/>
      <c r="I115" s="839"/>
      <c r="J115" s="839"/>
      <c r="K115" s="839"/>
      <c r="L115" s="839"/>
      <c r="M115" s="839"/>
      <c r="N115" s="839"/>
      <c r="O115" s="839"/>
      <c r="P115" s="927"/>
    </row>
    <row r="116" spans="1:16" ht="12.75">
      <c r="A116" s="836"/>
      <c r="B116" s="836"/>
      <c r="E116" s="868"/>
      <c r="F116" s="839"/>
      <c r="G116" s="839"/>
      <c r="H116" s="839"/>
      <c r="I116" s="839"/>
      <c r="J116" s="839"/>
      <c r="K116" s="839"/>
      <c r="L116" s="839"/>
      <c r="M116" s="839"/>
      <c r="N116" s="839"/>
      <c r="O116" s="839"/>
      <c r="P116" s="927"/>
    </row>
    <row r="117" spans="1:16" ht="12.75">
      <c r="A117" s="836"/>
      <c r="B117" s="836"/>
      <c r="E117" s="868"/>
      <c r="F117" s="839"/>
      <c r="G117" s="839"/>
      <c r="H117" s="839"/>
      <c r="I117" s="839"/>
      <c r="J117" s="839"/>
      <c r="K117" s="839"/>
      <c r="L117" s="839"/>
      <c r="M117" s="839"/>
      <c r="N117" s="839"/>
      <c r="O117" s="839"/>
      <c r="P117" s="927"/>
    </row>
    <row r="118" spans="1:16" ht="12.75">
      <c r="A118" s="836"/>
      <c r="B118" s="836"/>
      <c r="E118" s="868"/>
      <c r="F118" s="839"/>
      <c r="G118" s="839"/>
      <c r="H118" s="839"/>
      <c r="I118" s="839"/>
      <c r="J118" s="839"/>
      <c r="K118" s="839"/>
      <c r="L118" s="839"/>
      <c r="M118" s="839"/>
      <c r="N118" s="839"/>
      <c r="O118" s="839"/>
      <c r="P118" s="927"/>
    </row>
    <row r="119" spans="1:16" ht="12.75">
      <c r="A119" s="836"/>
      <c r="B119" s="836"/>
      <c r="E119" s="868"/>
      <c r="F119" s="839"/>
      <c r="G119" s="839"/>
      <c r="H119" s="839"/>
      <c r="I119" s="839"/>
      <c r="J119" s="839"/>
      <c r="K119" s="839"/>
      <c r="L119" s="839"/>
      <c r="M119" s="839"/>
      <c r="N119" s="839"/>
      <c r="O119" s="839"/>
      <c r="P119" s="927"/>
    </row>
    <row r="120" spans="1:16" ht="12.75">
      <c r="A120" s="836"/>
      <c r="B120" s="836"/>
      <c r="E120" s="868"/>
      <c r="F120" s="839"/>
      <c r="G120" s="839"/>
      <c r="H120" s="839"/>
      <c r="I120" s="839"/>
      <c r="J120" s="839"/>
      <c r="K120" s="839"/>
      <c r="L120" s="839"/>
      <c r="M120" s="839"/>
      <c r="N120" s="839"/>
      <c r="O120" s="839"/>
      <c r="P120" s="927"/>
    </row>
    <row r="121" spans="1:16" ht="12.75">
      <c r="A121" s="836"/>
      <c r="B121" s="836"/>
      <c r="E121" s="868"/>
      <c r="F121" s="839"/>
      <c r="G121" s="839"/>
      <c r="H121" s="839"/>
      <c r="I121" s="839"/>
      <c r="J121" s="839"/>
      <c r="K121" s="839"/>
      <c r="L121" s="839"/>
      <c r="M121" s="839"/>
      <c r="N121" s="839"/>
      <c r="O121" s="839"/>
      <c r="P121" s="927"/>
    </row>
    <row r="122" spans="1:16" ht="12.75">
      <c r="A122" s="836"/>
      <c r="B122" s="836"/>
      <c r="E122" s="868"/>
      <c r="F122" s="839"/>
      <c r="G122" s="839"/>
      <c r="H122" s="839"/>
      <c r="I122" s="839"/>
      <c r="J122" s="839"/>
      <c r="K122" s="839"/>
      <c r="L122" s="839"/>
      <c r="M122" s="839"/>
      <c r="N122" s="839"/>
      <c r="O122" s="839"/>
      <c r="P122" s="927"/>
    </row>
    <row r="123" spans="1:16" ht="12.75">
      <c r="A123" s="836"/>
      <c r="B123" s="836"/>
      <c r="E123" s="868"/>
      <c r="F123" s="839"/>
      <c r="G123" s="839"/>
      <c r="H123" s="839"/>
      <c r="I123" s="839"/>
      <c r="J123" s="839"/>
      <c r="K123" s="839"/>
      <c r="L123" s="839"/>
      <c r="M123" s="839"/>
      <c r="N123" s="839"/>
      <c r="O123" s="839"/>
      <c r="P123" s="927"/>
    </row>
    <row r="124" spans="1:16" ht="12.75">
      <c r="A124" s="836"/>
      <c r="B124" s="836"/>
      <c r="E124" s="868"/>
      <c r="F124" s="839"/>
      <c r="G124" s="839"/>
      <c r="H124" s="839"/>
      <c r="I124" s="839"/>
      <c r="J124" s="839"/>
      <c r="K124" s="839"/>
      <c r="L124" s="839"/>
      <c r="M124" s="839"/>
      <c r="N124" s="839"/>
      <c r="O124" s="839"/>
      <c r="P124" s="927"/>
    </row>
    <row r="125" spans="1:16" ht="12.75">
      <c r="A125" s="836"/>
      <c r="B125" s="836"/>
      <c r="E125" s="868"/>
      <c r="F125" s="839"/>
      <c r="G125" s="839"/>
      <c r="H125" s="839"/>
      <c r="I125" s="839"/>
      <c r="J125" s="839"/>
      <c r="K125" s="839"/>
      <c r="L125" s="839"/>
      <c r="M125" s="839"/>
      <c r="N125" s="839"/>
      <c r="O125" s="839"/>
      <c r="P125" s="927"/>
    </row>
    <row r="126" spans="1:16" ht="12.75">
      <c r="A126" s="836"/>
      <c r="B126" s="836"/>
      <c r="E126" s="868"/>
      <c r="F126" s="839"/>
      <c r="G126" s="839"/>
      <c r="H126" s="839"/>
      <c r="I126" s="839"/>
      <c r="J126" s="839"/>
      <c r="K126" s="839"/>
      <c r="L126" s="839"/>
      <c r="M126" s="839"/>
      <c r="N126" s="839"/>
      <c r="O126" s="839"/>
      <c r="P126" s="927"/>
    </row>
    <row r="127" spans="1:16" ht="12.75">
      <c r="A127" s="836"/>
      <c r="B127" s="836"/>
      <c r="E127" s="868"/>
      <c r="F127" s="839"/>
      <c r="G127" s="839"/>
      <c r="H127" s="839"/>
      <c r="I127" s="839"/>
      <c r="J127" s="839"/>
      <c r="K127" s="839"/>
      <c r="L127" s="839"/>
      <c r="M127" s="839"/>
      <c r="N127" s="839"/>
      <c r="O127" s="839"/>
      <c r="P127" s="927"/>
    </row>
    <row r="128" spans="1:16" ht="12.75">
      <c r="A128" s="836"/>
      <c r="B128" s="836"/>
      <c r="E128" s="868"/>
      <c r="F128" s="839"/>
      <c r="G128" s="839"/>
      <c r="H128" s="839"/>
      <c r="I128" s="839"/>
      <c r="J128" s="839"/>
      <c r="K128" s="839"/>
      <c r="L128" s="839"/>
      <c r="M128" s="839"/>
      <c r="N128" s="839"/>
      <c r="O128" s="839"/>
      <c r="P128" s="927"/>
    </row>
    <row r="129" spans="1:16" ht="12.75">
      <c r="A129" s="836"/>
      <c r="B129" s="836"/>
      <c r="E129" s="868"/>
      <c r="F129" s="839"/>
      <c r="G129" s="839"/>
      <c r="H129" s="839"/>
      <c r="I129" s="839"/>
      <c r="J129" s="839"/>
      <c r="K129" s="839"/>
      <c r="L129" s="839"/>
      <c r="M129" s="839"/>
      <c r="N129" s="839"/>
      <c r="O129" s="839"/>
      <c r="P129" s="927"/>
    </row>
    <row r="130" spans="1:16" ht="12.75">
      <c r="A130" s="836"/>
      <c r="B130" s="836"/>
      <c r="E130" s="868"/>
      <c r="F130" s="839"/>
      <c r="G130" s="839"/>
      <c r="H130" s="839"/>
      <c r="I130" s="839"/>
      <c r="J130" s="839"/>
      <c r="K130" s="839"/>
      <c r="L130" s="839"/>
      <c r="M130" s="839"/>
      <c r="N130" s="839"/>
      <c r="O130" s="839"/>
      <c r="P130" s="927"/>
    </row>
    <row r="131" spans="1:16" ht="12.75">
      <c r="A131" s="836"/>
      <c r="B131" s="836"/>
      <c r="E131" s="868"/>
      <c r="F131" s="839"/>
      <c r="G131" s="839"/>
      <c r="H131" s="839"/>
      <c r="I131" s="839"/>
      <c r="J131" s="839"/>
      <c r="K131" s="839"/>
      <c r="L131" s="839"/>
      <c r="M131" s="839"/>
      <c r="N131" s="839"/>
      <c r="O131" s="839"/>
      <c r="P131" s="927"/>
    </row>
    <row r="132" spans="1:16" ht="12.75">
      <c r="A132" s="836"/>
      <c r="B132" s="836"/>
      <c r="E132" s="868"/>
      <c r="F132" s="839"/>
      <c r="G132" s="839"/>
      <c r="H132" s="839"/>
      <c r="I132" s="839"/>
      <c r="J132" s="839"/>
      <c r="K132" s="839"/>
      <c r="L132" s="839"/>
      <c r="M132" s="839"/>
      <c r="N132" s="839"/>
      <c r="O132" s="839"/>
      <c r="P132" s="927"/>
    </row>
    <row r="133" spans="1:16" ht="12.75">
      <c r="A133" s="836"/>
      <c r="B133" s="836"/>
      <c r="E133" s="868"/>
      <c r="F133" s="839"/>
      <c r="G133" s="839"/>
      <c r="H133" s="839"/>
      <c r="I133" s="839"/>
      <c r="J133" s="839"/>
      <c r="K133" s="839"/>
      <c r="L133" s="839"/>
      <c r="M133" s="839"/>
      <c r="N133" s="839"/>
      <c r="O133" s="839"/>
      <c r="P133" s="927"/>
    </row>
    <row r="134" spans="1:16" ht="12.75">
      <c r="A134" s="836"/>
      <c r="B134" s="836"/>
      <c r="E134" s="868"/>
      <c r="F134" s="839"/>
      <c r="G134" s="839"/>
      <c r="H134" s="839"/>
      <c r="I134" s="839"/>
      <c r="J134" s="839"/>
      <c r="K134" s="839"/>
      <c r="L134" s="839"/>
      <c r="M134" s="839"/>
      <c r="N134" s="839"/>
      <c r="O134" s="839"/>
      <c r="P134" s="927"/>
    </row>
    <row r="135" spans="1:16" ht="12.75">
      <c r="A135" s="836"/>
      <c r="B135" s="836"/>
      <c r="E135" s="868"/>
      <c r="F135" s="839"/>
      <c r="G135" s="839"/>
      <c r="H135" s="839"/>
      <c r="I135" s="839"/>
      <c r="J135" s="839"/>
      <c r="K135" s="839"/>
      <c r="L135" s="839"/>
      <c r="M135" s="839"/>
      <c r="N135" s="839"/>
      <c r="O135" s="839"/>
      <c r="P135" s="927"/>
    </row>
    <row r="136" spans="1:16" ht="12.75">
      <c r="A136" s="836"/>
      <c r="B136" s="836"/>
      <c r="E136" s="868"/>
      <c r="F136" s="839"/>
      <c r="G136" s="839"/>
      <c r="H136" s="839"/>
      <c r="I136" s="839"/>
      <c r="J136" s="839"/>
      <c r="K136" s="839"/>
      <c r="L136" s="839"/>
      <c r="M136" s="839"/>
      <c r="N136" s="839"/>
      <c r="O136" s="839"/>
      <c r="P136" s="927"/>
    </row>
    <row r="137" spans="1:16" ht="12.75">
      <c r="A137" s="836"/>
      <c r="B137" s="836"/>
      <c r="E137" s="868"/>
      <c r="F137" s="839"/>
      <c r="G137" s="839"/>
      <c r="H137" s="839"/>
      <c r="I137" s="839"/>
      <c r="J137" s="839"/>
      <c r="K137" s="839"/>
      <c r="L137" s="839"/>
      <c r="M137" s="839"/>
      <c r="N137" s="839"/>
      <c r="O137" s="839"/>
      <c r="P137" s="927"/>
    </row>
    <row r="138" spans="1:16" ht="12.75">
      <c r="A138" s="836"/>
      <c r="B138" s="836"/>
      <c r="E138" s="868"/>
      <c r="F138" s="839"/>
      <c r="G138" s="839"/>
      <c r="H138" s="839"/>
      <c r="I138" s="839"/>
      <c r="J138" s="839"/>
      <c r="K138" s="839"/>
      <c r="L138" s="839"/>
      <c r="M138" s="839"/>
      <c r="N138" s="839"/>
      <c r="O138" s="839"/>
      <c r="P138" s="927"/>
    </row>
  </sheetData>
  <sheetProtection/>
  <mergeCells count="14">
    <mergeCell ref="H7:H8"/>
    <mergeCell ref="M7:M8"/>
    <mergeCell ref="N7:N8"/>
    <mergeCell ref="O7:O8"/>
    <mergeCell ref="I7:I8"/>
    <mergeCell ref="J7:J8"/>
    <mergeCell ref="K7:K8"/>
    <mergeCell ref="L7:L8"/>
    <mergeCell ref="D7:G7"/>
    <mergeCell ref="A2:P2"/>
    <mergeCell ref="A3:P3"/>
    <mergeCell ref="B7:B8"/>
    <mergeCell ref="C7:C8"/>
    <mergeCell ref="P7:P8"/>
  </mergeCells>
  <hyperlinks>
    <hyperlink ref="A1" location="Содержание!A1" display="Вернуться к содержанию"/>
  </hyperlinks>
  <printOptions/>
  <pageMargins left="0.75" right="0.75" top="1" bottom="1" header="0.5" footer="0.5"/>
  <pageSetup orientation="portrait" paperSize="9"/>
  <ignoredErrors>
    <ignoredError sqref="D38 E38:O3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D20" sqref="D20"/>
    </sheetView>
  </sheetViews>
  <sheetFormatPr defaultColWidth="9.00390625" defaultRowHeight="12.75" outlineLevelRow="1"/>
  <cols>
    <col min="1" max="1" width="7.25390625" style="2" customWidth="1"/>
    <col min="2" max="2" width="39.125" style="2" customWidth="1"/>
    <col min="3" max="3" width="10.375" style="2" bestFit="1" customWidth="1"/>
    <col min="4" max="8" width="12.00390625" style="2" bestFit="1" customWidth="1"/>
    <col min="9" max="15" width="12.625" style="2" bestFit="1" customWidth="1"/>
    <col min="16" max="16384" width="9.125" style="2" customWidth="1"/>
  </cols>
  <sheetData>
    <row r="1" spans="1:3" ht="13.5" customHeight="1">
      <c r="A1" s="6" t="s">
        <v>129</v>
      </c>
      <c r="B1" s="7"/>
      <c r="C1" s="8"/>
    </row>
    <row r="2" spans="1:13" s="12" customFormat="1" ht="18.75">
      <c r="A2" s="1149" t="s">
        <v>495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</row>
    <row r="3" spans="1:13" s="12" customFormat="1" ht="18.75">
      <c r="A3" s="1149"/>
      <c r="B3" s="1149"/>
      <c r="C3" s="1149"/>
      <c r="D3" s="1149"/>
      <c r="E3" s="1149"/>
      <c r="F3" s="1149"/>
      <c r="G3" s="1149"/>
      <c r="H3" s="1149"/>
      <c r="I3" s="1149"/>
      <c r="J3" s="1149"/>
      <c r="K3" s="1149"/>
      <c r="L3" s="1149"/>
      <c r="M3" s="1149"/>
    </row>
    <row r="4" spans="1:7" s="12" customFormat="1" ht="13.5">
      <c r="A4" s="96"/>
      <c r="B4" s="96"/>
      <c r="C4" s="97"/>
      <c r="D4" s="97"/>
      <c r="E4" s="97"/>
      <c r="F4" s="97"/>
      <c r="G4" s="98"/>
    </row>
    <row r="5" spans="1:7" s="12" customFormat="1" ht="13.5">
      <c r="A5" s="96"/>
      <c r="B5" s="96"/>
      <c r="C5" s="97"/>
      <c r="D5" s="97"/>
      <c r="E5" s="97"/>
      <c r="F5" s="97"/>
      <c r="G5" s="98"/>
    </row>
    <row r="6" spans="1:7" s="12" customFormat="1" ht="19.5" customHeight="1">
      <c r="A6" s="96"/>
      <c r="B6" s="96"/>
      <c r="C6" s="97"/>
      <c r="D6" s="97"/>
      <c r="E6" s="97"/>
      <c r="F6" s="97"/>
      <c r="G6" s="98"/>
    </row>
    <row r="7" spans="1:15" s="94" customFormat="1" ht="12.75" customHeight="1">
      <c r="A7" s="1147" t="s">
        <v>255</v>
      </c>
      <c r="B7" s="1150" t="s">
        <v>102</v>
      </c>
      <c r="C7" s="1121">
        <f>D7-1</f>
        <v>2005</v>
      </c>
      <c r="D7" s="1129">
        <f>Параметры!D3</f>
        <v>2006</v>
      </c>
      <c r="E7" s="1130"/>
      <c r="F7" s="1130"/>
      <c r="G7" s="1131"/>
      <c r="H7" s="1133">
        <f>D7+1</f>
        <v>2007</v>
      </c>
      <c r="I7" s="1134">
        <f aca="true" t="shared" si="0" ref="I7:O7">H7+1</f>
        <v>2008</v>
      </c>
      <c r="J7" s="1134">
        <f t="shared" si="0"/>
        <v>2009</v>
      </c>
      <c r="K7" s="1134">
        <f t="shared" si="0"/>
        <v>2010</v>
      </c>
      <c r="L7" s="1134">
        <f t="shared" si="0"/>
        <v>2011</v>
      </c>
      <c r="M7" s="1134">
        <f t="shared" si="0"/>
        <v>2012</v>
      </c>
      <c r="N7" s="1134">
        <f t="shared" si="0"/>
        <v>2013</v>
      </c>
      <c r="O7" s="1134">
        <f t="shared" si="0"/>
        <v>2014</v>
      </c>
    </row>
    <row r="8" spans="1:15" s="94" customFormat="1" ht="12.75">
      <c r="A8" s="1148"/>
      <c r="B8" s="1151"/>
      <c r="C8" s="1122"/>
      <c r="D8" s="763" t="s">
        <v>725</v>
      </c>
      <c r="E8" s="763" t="s">
        <v>726</v>
      </c>
      <c r="F8" s="763" t="s">
        <v>727</v>
      </c>
      <c r="G8" s="763" t="s">
        <v>728</v>
      </c>
      <c r="H8" s="1134"/>
      <c r="I8" s="1134"/>
      <c r="J8" s="1134"/>
      <c r="K8" s="1134"/>
      <c r="L8" s="1134"/>
      <c r="M8" s="1134"/>
      <c r="N8" s="1134"/>
      <c r="O8" s="1134"/>
    </row>
    <row r="9" spans="1:15" s="93" customFormat="1" ht="12.75" customHeight="1">
      <c r="A9" s="11">
        <v>1</v>
      </c>
      <c r="B9" s="54">
        <f aca="true" t="shared" si="1" ref="B9:O9">A9+1</f>
        <v>2</v>
      </c>
      <c r="C9" s="54">
        <f t="shared" si="1"/>
        <v>3</v>
      </c>
      <c r="D9" s="54">
        <f t="shared" si="1"/>
        <v>4</v>
      </c>
      <c r="E9" s="54">
        <f t="shared" si="1"/>
        <v>5</v>
      </c>
      <c r="F9" s="54">
        <f t="shared" si="1"/>
        <v>6</v>
      </c>
      <c r="G9" s="54">
        <f t="shared" si="1"/>
        <v>7</v>
      </c>
      <c r="H9" s="54">
        <f t="shared" si="1"/>
        <v>8</v>
      </c>
      <c r="I9" s="54">
        <f t="shared" si="1"/>
        <v>9</v>
      </c>
      <c r="J9" s="54">
        <f t="shared" si="1"/>
        <v>10</v>
      </c>
      <c r="K9" s="54">
        <f t="shared" si="1"/>
        <v>11</v>
      </c>
      <c r="L9" s="54">
        <f t="shared" si="1"/>
        <v>12</v>
      </c>
      <c r="M9" s="54">
        <f t="shared" si="1"/>
        <v>13</v>
      </c>
      <c r="N9" s="54">
        <f t="shared" si="1"/>
        <v>14</v>
      </c>
      <c r="O9" s="54">
        <f t="shared" si="1"/>
        <v>15</v>
      </c>
    </row>
    <row r="10" spans="1:15" s="1" customFormat="1" ht="12.75">
      <c r="A10" s="488" t="s">
        <v>480</v>
      </c>
      <c r="B10" s="489" t="str">
        <f>VLOOKUP(A10,Справочники!$B:$F,3,FALSE)</f>
        <v>НЕОПЕРАЦИОННЫЕ ДОХОДЫ</v>
      </c>
      <c r="C10" s="420"/>
      <c r="D10" s="490">
        <f aca="true" t="shared" si="2" ref="D10:O10">SUM(D11:D12)</f>
        <v>0</v>
      </c>
      <c r="E10" s="491">
        <f t="shared" si="2"/>
        <v>0</v>
      </c>
      <c r="F10" s="491">
        <f t="shared" si="2"/>
        <v>0</v>
      </c>
      <c r="G10" s="491">
        <f t="shared" si="2"/>
        <v>0</v>
      </c>
      <c r="H10" s="491">
        <f t="shared" si="2"/>
        <v>0</v>
      </c>
      <c r="I10" s="491">
        <f t="shared" si="2"/>
        <v>0</v>
      </c>
      <c r="J10" s="491">
        <f t="shared" si="2"/>
        <v>0</v>
      </c>
      <c r="K10" s="491">
        <f t="shared" si="2"/>
        <v>0</v>
      </c>
      <c r="L10" s="491">
        <f t="shared" si="2"/>
        <v>0</v>
      </c>
      <c r="M10" s="491">
        <f t="shared" si="2"/>
        <v>0</v>
      </c>
      <c r="N10" s="491">
        <f t="shared" si="2"/>
        <v>0</v>
      </c>
      <c r="O10" s="492">
        <f t="shared" si="2"/>
        <v>0</v>
      </c>
    </row>
    <row r="11" spans="1:15" ht="12.75" outlineLevel="1">
      <c r="A11" s="164" t="s">
        <v>482</v>
      </c>
      <c r="B11" s="247" t="str">
        <f>VLOOKUP(A11,Справочники!$B:$F,3,FALSE)</f>
        <v>Реализация (выбытие) активов</v>
      </c>
      <c r="C11" s="47"/>
      <c r="D11" s="28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1:15" ht="12.75" outlineLevel="1">
      <c r="A12" s="164" t="s">
        <v>358</v>
      </c>
      <c r="B12" s="247" t="str">
        <f>VLOOKUP(A12,Справочники!$B:$F,3,FALSE)</f>
        <v>Проценты по депозитам начисленные</v>
      </c>
      <c r="C12" s="47"/>
      <c r="D12" s="41">
        <f>БФД!D126</f>
        <v>0</v>
      </c>
      <c r="E12" s="39">
        <f>БФД!E126</f>
        <v>0</v>
      </c>
      <c r="F12" s="39">
        <f>БФД!F126</f>
        <v>0</v>
      </c>
      <c r="G12" s="39">
        <f>БФД!G126</f>
        <v>0</v>
      </c>
      <c r="H12" s="39">
        <f>БФД!H126</f>
        <v>0</v>
      </c>
      <c r="I12" s="39">
        <f>БФД!I126</f>
        <v>0</v>
      </c>
      <c r="J12" s="39">
        <f>БФД!J126</f>
        <v>0</v>
      </c>
      <c r="K12" s="39">
        <f>БФД!K126</f>
        <v>0</v>
      </c>
      <c r="L12" s="39">
        <f>БФД!L126</f>
        <v>0</v>
      </c>
      <c r="M12" s="39">
        <f>БФД!M126</f>
        <v>0</v>
      </c>
      <c r="N12" s="39">
        <f>БФД!N126</f>
        <v>0</v>
      </c>
      <c r="O12" s="40">
        <f>БФД!O126</f>
        <v>0</v>
      </c>
    </row>
    <row r="13" spans="1:15" s="1" customFormat="1" ht="12.75">
      <c r="A13" s="237" t="s">
        <v>0</v>
      </c>
      <c r="B13" s="79" t="str">
        <f>VLOOKUP(A13,Справочники!$B:$F,3,FALSE)</f>
        <v>НЕОПЕРАЦИОННЫЕ РАСХОДЫ</v>
      </c>
      <c r="C13" s="240"/>
      <c r="D13" s="241">
        <f aca="true" t="shared" si="3" ref="D13:O13">SUM(D14:D14)</f>
        <v>0</v>
      </c>
      <c r="E13" s="242">
        <f t="shared" si="3"/>
        <v>0</v>
      </c>
      <c r="F13" s="242">
        <f t="shared" si="3"/>
        <v>0</v>
      </c>
      <c r="G13" s="242">
        <f t="shared" si="3"/>
        <v>0</v>
      </c>
      <c r="H13" s="242">
        <f t="shared" si="3"/>
        <v>0</v>
      </c>
      <c r="I13" s="242">
        <f t="shared" si="3"/>
        <v>0</v>
      </c>
      <c r="J13" s="242">
        <f t="shared" si="3"/>
        <v>0</v>
      </c>
      <c r="K13" s="242">
        <f t="shared" si="3"/>
        <v>0</v>
      </c>
      <c r="L13" s="242">
        <f t="shared" si="3"/>
        <v>0</v>
      </c>
      <c r="M13" s="242">
        <f t="shared" si="3"/>
        <v>0</v>
      </c>
      <c r="N13" s="242">
        <f t="shared" si="3"/>
        <v>0</v>
      </c>
      <c r="O13" s="243">
        <f t="shared" si="3"/>
        <v>0</v>
      </c>
    </row>
    <row r="14" spans="1:15" ht="12.75" outlineLevel="1">
      <c r="A14" s="166" t="s">
        <v>1</v>
      </c>
      <c r="B14" s="330" t="str">
        <f>VLOOKUP(A14,Справочники!$B:$F,3,FALSE)</f>
        <v>Расходы от реализации (выбытия) активов</v>
      </c>
      <c r="C14" s="320"/>
      <c r="D14" s="493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887"/>
    </row>
    <row r="16" spans="12:14" ht="12.75">
      <c r="L16" s="53"/>
      <c r="N16" s="53"/>
    </row>
  </sheetData>
  <sheetProtection/>
  <mergeCells count="14">
    <mergeCell ref="N7:N8"/>
    <mergeCell ref="O7:O8"/>
    <mergeCell ref="J7:J8"/>
    <mergeCell ref="K7:K8"/>
    <mergeCell ref="L7:L8"/>
    <mergeCell ref="M7:M8"/>
    <mergeCell ref="A2:M2"/>
    <mergeCell ref="A3:M3"/>
    <mergeCell ref="A7:A8"/>
    <mergeCell ref="B7:B8"/>
    <mergeCell ref="C7:C8"/>
    <mergeCell ref="H7:H8"/>
    <mergeCell ref="I7:I8"/>
    <mergeCell ref="D7:G7"/>
  </mergeCells>
  <hyperlinks>
    <hyperlink ref="A1" location="Содержание!A1" display="Вернуться к содержанию"/>
  </hyperlinks>
  <printOptions/>
  <pageMargins left="0.75" right="0.75" top="1" bottom="1" header="0.5" footer="0.5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A107"/>
  <sheetViews>
    <sheetView zoomScale="90" zoomScaleNormal="9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" sqref="C1"/>
    </sheetView>
  </sheetViews>
  <sheetFormatPr defaultColWidth="9.00390625" defaultRowHeight="12.75" outlineLevelRow="1"/>
  <cols>
    <col min="1" max="1" width="9.125" style="2" hidden="1" customWidth="1"/>
    <col min="2" max="2" width="9.125" style="102" customWidth="1"/>
    <col min="3" max="3" width="66.75390625" style="2" bestFit="1" customWidth="1"/>
    <col min="4" max="4" width="11.625" style="2" bestFit="1" customWidth="1"/>
    <col min="5" max="6" width="10.875" style="2" bestFit="1" customWidth="1"/>
    <col min="7" max="8" width="10.75390625" style="2" bestFit="1" customWidth="1"/>
    <col min="9" max="10" width="10.875" style="2" bestFit="1" customWidth="1"/>
    <col min="11" max="12" width="10.375" style="2" hidden="1" customWidth="1"/>
    <col min="13" max="15" width="10.00390625" style="2" hidden="1" customWidth="1"/>
    <col min="16" max="16" width="9.125" style="2" customWidth="1"/>
    <col min="27" max="27" width="9.125" style="2" customWidth="1"/>
    <col min="30" max="30" width="9.125" style="2" customWidth="1"/>
    <col min="33" max="33" width="9.125" style="2" customWidth="1"/>
    <col min="36" max="36" width="9.125" style="2" customWidth="1"/>
    <col min="39" max="39" width="9.125" style="2" customWidth="1"/>
    <col min="42" max="42" width="9.125" style="2" customWidth="1"/>
    <col min="45" max="45" width="9.125" style="2" customWidth="1"/>
    <col min="48" max="48" width="9.125" style="2" customWidth="1"/>
    <col min="51" max="51" width="9.125" style="2" customWidth="1"/>
    <col min="54" max="16384" width="9.125" style="2" customWidth="1"/>
  </cols>
  <sheetData>
    <row r="1" spans="2:24" ht="12.75">
      <c r="B1" s="6" t="s">
        <v>129</v>
      </c>
      <c r="C1" s="8"/>
      <c r="Q1" s="2"/>
      <c r="R1" s="2"/>
      <c r="U1" s="2"/>
      <c r="X1" s="2"/>
    </row>
    <row r="3" spans="1:3" ht="12.75">
      <c r="A3" s="44"/>
      <c r="C3" s="8"/>
    </row>
    <row r="4" spans="3:16" ht="30" customHeight="1">
      <c r="C4" s="1048" t="s">
        <v>704</v>
      </c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357"/>
    </row>
    <row r="5" spans="3:15" ht="12.75" customHeight="1"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</row>
    <row r="6" spans="1:53" ht="12.75" customHeight="1">
      <c r="A6" s="1145" t="s">
        <v>117</v>
      </c>
      <c r="B6" s="1145" t="s">
        <v>264</v>
      </c>
      <c r="C6" s="1147" t="s">
        <v>186</v>
      </c>
      <c r="D6" s="1129">
        <f>Параметры!D3</f>
        <v>2006</v>
      </c>
      <c r="E6" s="1130"/>
      <c r="F6" s="1130"/>
      <c r="G6" s="1131"/>
      <c r="H6" s="1121">
        <f>D6+1</f>
        <v>2007</v>
      </c>
      <c r="I6" s="1121">
        <f>H6+1</f>
        <v>2008</v>
      </c>
      <c r="J6" s="1121">
        <f aca="true" t="shared" si="0" ref="J6:O6">I6+1</f>
        <v>2009</v>
      </c>
      <c r="K6" s="1121">
        <f t="shared" si="0"/>
        <v>2010</v>
      </c>
      <c r="L6" s="1121">
        <f t="shared" si="0"/>
        <v>2011</v>
      </c>
      <c r="M6" s="1121">
        <f t="shared" si="0"/>
        <v>2012</v>
      </c>
      <c r="N6" s="1121">
        <f t="shared" si="0"/>
        <v>2013</v>
      </c>
      <c r="O6" s="1121">
        <f t="shared" si="0"/>
        <v>2014</v>
      </c>
      <c r="Q6" s="2"/>
      <c r="R6" s="2"/>
      <c r="S6" s="2"/>
      <c r="T6" s="2"/>
      <c r="U6" s="2"/>
      <c r="V6" s="2"/>
      <c r="W6" s="2"/>
      <c r="X6" s="2"/>
      <c r="Y6" s="2"/>
      <c r="Z6" s="2"/>
      <c r="AB6" s="2"/>
      <c r="AC6" s="2"/>
      <c r="AE6" s="2"/>
      <c r="AF6" s="2"/>
      <c r="AH6" s="2"/>
      <c r="AI6" s="2"/>
      <c r="AK6" s="2"/>
      <c r="AL6" s="2"/>
      <c r="AN6" s="2"/>
      <c r="AO6" s="2"/>
      <c r="AQ6" s="2"/>
      <c r="AR6" s="2"/>
      <c r="AT6" s="2"/>
      <c r="AU6" s="2"/>
      <c r="AW6" s="2"/>
      <c r="AX6" s="2"/>
      <c r="AZ6" s="2"/>
      <c r="BA6" s="2"/>
    </row>
    <row r="7" spans="1:16" s="12" customFormat="1" ht="12.75">
      <c r="A7" s="1146"/>
      <c r="B7" s="1146"/>
      <c r="C7" s="1148"/>
      <c r="D7" s="763" t="s">
        <v>725</v>
      </c>
      <c r="E7" s="763" t="s">
        <v>726</v>
      </c>
      <c r="F7" s="763" t="s">
        <v>727</v>
      </c>
      <c r="G7" s="763" t="s">
        <v>728</v>
      </c>
      <c r="H7" s="1122"/>
      <c r="I7" s="1122"/>
      <c r="J7" s="1122"/>
      <c r="K7" s="1122"/>
      <c r="L7" s="1122"/>
      <c r="M7" s="1122"/>
      <c r="N7" s="1122"/>
      <c r="O7" s="1122"/>
      <c r="P7" s="102"/>
    </row>
    <row r="8" spans="2:15" s="93" customFormat="1" ht="12.75">
      <c r="B8" s="11">
        <v>1</v>
      </c>
      <c r="C8" s="11">
        <f aca="true" t="shared" si="1" ref="C8:O8">B8+1</f>
        <v>2</v>
      </c>
      <c r="D8" s="11">
        <f t="shared" si="1"/>
        <v>3</v>
      </c>
      <c r="E8" s="11">
        <f t="shared" si="1"/>
        <v>4</v>
      </c>
      <c r="F8" s="11">
        <f t="shared" si="1"/>
        <v>5</v>
      </c>
      <c r="G8" s="11">
        <f t="shared" si="1"/>
        <v>6</v>
      </c>
      <c r="H8" s="11">
        <f t="shared" si="1"/>
        <v>7</v>
      </c>
      <c r="I8" s="11">
        <f t="shared" si="1"/>
        <v>8</v>
      </c>
      <c r="J8" s="11">
        <f t="shared" si="1"/>
        <v>9</v>
      </c>
      <c r="K8" s="11">
        <f t="shared" si="1"/>
        <v>10</v>
      </c>
      <c r="L8" s="11">
        <f t="shared" si="1"/>
        <v>11</v>
      </c>
      <c r="M8" s="11">
        <f t="shared" si="1"/>
        <v>12</v>
      </c>
      <c r="N8" s="11">
        <f t="shared" si="1"/>
        <v>13</v>
      </c>
      <c r="O8" s="11">
        <f t="shared" si="1"/>
        <v>14</v>
      </c>
    </row>
    <row r="9" spans="1:15" s="45" customFormat="1" ht="12.75">
      <c r="A9" s="751"/>
      <c r="B9" s="743"/>
      <c r="C9" s="245" t="s">
        <v>553</v>
      </c>
      <c r="D9" s="1053">
        <f aca="true" t="shared" si="2" ref="D9:O9">SUM(D11:D18)</f>
        <v>778100</v>
      </c>
      <c r="E9" s="1053">
        <f t="shared" si="2"/>
        <v>1076566.6666666667</v>
      </c>
      <c r="F9" s="1053">
        <f t="shared" si="2"/>
        <v>1135900</v>
      </c>
      <c r="G9" s="1053">
        <f t="shared" si="2"/>
        <v>1206600</v>
      </c>
      <c r="H9" s="1053">
        <f t="shared" si="2"/>
        <v>10283050.847457627</v>
      </c>
      <c r="I9" s="1053">
        <f t="shared" si="2"/>
        <v>22256271.186440676</v>
      </c>
      <c r="J9" s="1053">
        <f t="shared" si="2"/>
        <v>36766101.69491526</v>
      </c>
      <c r="K9" s="671">
        <f t="shared" si="2"/>
        <v>805084.7457627119</v>
      </c>
      <c r="L9" s="671">
        <f t="shared" si="2"/>
        <v>515254.2372881356</v>
      </c>
      <c r="M9" s="671">
        <f t="shared" si="2"/>
        <v>0</v>
      </c>
      <c r="N9" s="671">
        <f t="shared" si="2"/>
        <v>0</v>
      </c>
      <c r="O9" s="876">
        <f t="shared" si="2"/>
        <v>0</v>
      </c>
    </row>
    <row r="10" spans="1:15" s="1" customFormat="1" ht="12.75">
      <c r="A10" s="751"/>
      <c r="B10" s="744"/>
      <c r="C10" s="472" t="s">
        <v>350</v>
      </c>
      <c r="D10" s="1053"/>
      <c r="E10" s="1053"/>
      <c r="F10" s="1053"/>
      <c r="G10" s="1053"/>
      <c r="H10" s="1053"/>
      <c r="I10" s="1053"/>
      <c r="J10" s="1053"/>
      <c r="K10" s="671"/>
      <c r="L10" s="671"/>
      <c r="M10" s="671"/>
      <c r="N10" s="671"/>
      <c r="O10" s="877"/>
    </row>
    <row r="11" spans="1:15" ht="12.75" outlineLevel="1">
      <c r="A11" s="513" t="s">
        <v>323</v>
      </c>
      <c r="B11" s="513" t="s">
        <v>289</v>
      </c>
      <c r="C11" s="428" t="str">
        <f>VLOOKUP(B11,Справочники!$B:$F,3,FALSE)</f>
        <v>Доходы от продажи специализированных комплексов</v>
      </c>
      <c r="D11" s="1054">
        <f>VLOOKUP($A11,'План продаж '!$B$12:$O$47,COLUMN('План продаж '!D:D)-1,FALSE)</f>
        <v>559000</v>
      </c>
      <c r="E11" s="1054">
        <f>VLOOKUP($A11,'План продаж '!$B$12:$O$47,COLUMN('План продаж '!E:E)-1,FALSE)</f>
        <v>746000</v>
      </c>
      <c r="F11" s="1054">
        <f>VLOOKUP($A11,'План продаж '!$B$12:$O$47,COLUMN('План продаж '!F:F)-1,FALSE)</f>
        <v>746000</v>
      </c>
      <c r="G11" s="1054">
        <f>VLOOKUP($A11,'План продаж '!$B$12:$O$47,COLUMN('План продаж '!G:G)-1,FALSE)</f>
        <v>746000</v>
      </c>
      <c r="H11" s="1054">
        <f>VLOOKUP($A11,'План продаж '!$B$12:$O$47,COLUMN('План продаж '!H:H)-1,FALSE)</f>
        <v>5000000</v>
      </c>
      <c r="I11" s="1054">
        <f>VLOOKUP($A11,'План продаж '!$B$12:$O$47,COLUMN('План продаж '!I:I)-1,FALSE)</f>
        <v>8000000</v>
      </c>
      <c r="J11" s="1054">
        <f>VLOOKUP($A11,'План продаж '!$B$12:$O$47,COLUMN('План продаж '!J:J)-1,FALSE)</f>
        <v>15000000</v>
      </c>
      <c r="K11" s="955">
        <f>VLOOKUP($A11,'План продаж '!$B$12:$O$47,COLUMN('План продаж '!K:K)-1,FALSE)</f>
        <v>0</v>
      </c>
      <c r="L11" s="955">
        <f>VLOOKUP($A11,'План продаж '!$B$12:$O$47,COLUMN('План продаж '!L:L)-1,FALSE)</f>
        <v>0</v>
      </c>
      <c r="M11" s="955">
        <f>VLOOKUP($A11,'План продаж '!$B$12:$O$47,COLUMN('План продаж '!M:M)-1,FALSE)</f>
        <v>0</v>
      </c>
      <c r="N11" s="955">
        <f>VLOOKUP($A11,'План продаж '!$B$12:$O$47,COLUMN('План продаж '!N:N)-1,FALSE)</f>
        <v>0</v>
      </c>
      <c r="O11" s="956">
        <f>VLOOKUP($A11,'План продаж '!$B$12:$O$47,COLUMN('План продаж '!O:O)-1,FALSE)</f>
        <v>0</v>
      </c>
    </row>
    <row r="12" spans="1:15" ht="12.75" outlineLevel="1">
      <c r="A12" s="513" t="s">
        <v>324</v>
      </c>
      <c r="B12" s="513" t="s">
        <v>290</v>
      </c>
      <c r="C12" s="428" t="str">
        <f>VLOOKUP(B12,Справочники!$B:$F,3,FALSE)</f>
        <v>Доходы от продажи серверных решений</v>
      </c>
      <c r="D12" s="1054">
        <f>VLOOKUP($A12,'План продаж '!$B$12:$O$47,COLUMN('План продаж '!D:D)-1,FALSE)</f>
        <v>152500</v>
      </c>
      <c r="E12" s="1054">
        <f>VLOOKUP($A12,'План продаж '!$B$12:$O$47,COLUMN('План продаж '!E:E)-1,FALSE)</f>
        <v>203500</v>
      </c>
      <c r="F12" s="1054">
        <f>VLOOKUP($A12,'План продаж '!$B$12:$O$47,COLUMN('План продаж '!F:F)-1,FALSE)</f>
        <v>305000</v>
      </c>
      <c r="G12" s="1054">
        <f>VLOOKUP($A12,'План продаж '!$B$12:$O$47,COLUMN('План продаж '!G:G)-1,FALSE)</f>
        <v>356000</v>
      </c>
      <c r="H12" s="1054">
        <f>VLOOKUP($A12,'План продаж '!$B$12:$O$47,COLUMN('План продаж '!H:H)-1,FALSE)</f>
        <v>1200000</v>
      </c>
      <c r="I12" s="1054">
        <f>VLOOKUP($A12,'План продаж '!$B$12:$O$47,COLUMN('План продаж '!I:I)-1,FALSE)</f>
        <v>2980000</v>
      </c>
      <c r="J12" s="1054">
        <f>VLOOKUP($A12,'План продаж '!$B$12:$O$47,COLUMN('План продаж '!J:J)-1,FALSE)</f>
        <v>4000000</v>
      </c>
      <c r="K12" s="955">
        <f>VLOOKUP($A12,'План продаж '!$B$12:$O$47,COLUMN('План продаж '!K:K)-1,FALSE)</f>
        <v>0</v>
      </c>
      <c r="L12" s="955">
        <f>VLOOKUP($A12,'План продаж '!$B$12:$O$47,COLUMN('План продаж '!L:L)-1,FALSE)</f>
        <v>0</v>
      </c>
      <c r="M12" s="955">
        <f>VLOOKUP($A12,'План продаж '!$B$12:$O$47,COLUMN('План продаж '!M:M)-1,FALSE)</f>
        <v>0</v>
      </c>
      <c r="N12" s="955">
        <f>VLOOKUP($A12,'План продаж '!$B$12:$O$47,COLUMN('План продаж '!N:N)-1,FALSE)</f>
        <v>0</v>
      </c>
      <c r="O12" s="956">
        <f>VLOOKUP($A12,'План продаж '!$B$12:$O$47,COLUMN('План продаж '!O:O)-1,FALSE)</f>
        <v>0</v>
      </c>
    </row>
    <row r="13" spans="1:15" ht="12.75" outlineLevel="1">
      <c r="A13" s="513" t="s">
        <v>325</v>
      </c>
      <c r="B13" s="513" t="s">
        <v>291</v>
      </c>
      <c r="C13" s="428" t="str">
        <f>VLOOKUP(B13,Справочники!$B:$F,3,FALSE)</f>
        <v>Доходы от продажи систем хранения данных</v>
      </c>
      <c r="D13" s="1054">
        <f>VLOOKUP($A13,'План продаж '!$B$12:$O$47,COLUMN('План продаж '!D:D)-1,FALSE)</f>
        <v>17000</v>
      </c>
      <c r="E13" s="1054">
        <f>VLOOKUP($A13,'План продаж '!$B$12:$O$47,COLUMN('План продаж '!E:E)-1,FALSE)</f>
        <v>25500</v>
      </c>
      <c r="F13" s="1054">
        <f>VLOOKUP($A13,'План продаж '!$B$12:$O$47,COLUMN('План продаж '!F:F)-1,FALSE)</f>
        <v>42500</v>
      </c>
      <c r="G13" s="1054">
        <f>VLOOKUP($A13,'План продаж '!$B$12:$O$47,COLUMN('План продаж '!G:G)-1,FALSE)</f>
        <v>42500</v>
      </c>
      <c r="H13" s="1054">
        <f>VLOOKUP($A13,'План продаж '!$B$12:$O$47,COLUMN('План продаж '!H:H)-1,FALSE)</f>
        <v>1200000</v>
      </c>
      <c r="I13" s="1054">
        <f>VLOOKUP($A13,'План продаж '!$B$12:$O$47,COLUMN('План продаж '!I:I)-1,FALSE)</f>
        <v>2900000</v>
      </c>
      <c r="J13" s="1054">
        <f>VLOOKUP($A13,'План продаж '!$B$12:$O$47,COLUMN('План продаж '!J:J)-1,FALSE)</f>
        <v>2500000</v>
      </c>
      <c r="K13" s="955">
        <f>VLOOKUP($A13,'План продаж '!$B$12:$O$47,COLUMN('План продаж '!K:K)-1,FALSE)</f>
        <v>0</v>
      </c>
      <c r="L13" s="955">
        <f>VLOOKUP($A13,'План продаж '!$B$12:$O$47,COLUMN('План продаж '!L:L)-1,FALSE)</f>
        <v>0</v>
      </c>
      <c r="M13" s="955">
        <f>VLOOKUP($A13,'План продаж '!$B$12:$O$47,COLUMN('План продаж '!M:M)-1,FALSE)</f>
        <v>0</v>
      </c>
      <c r="N13" s="955">
        <f>VLOOKUP($A13,'План продаж '!$B$12:$O$47,COLUMN('План продаж '!N:N)-1,FALSE)</f>
        <v>0</v>
      </c>
      <c r="O13" s="956">
        <f>VLOOKUP($A13,'План продаж '!$B$12:$O$47,COLUMN('План продаж '!O:O)-1,FALSE)</f>
        <v>0</v>
      </c>
    </row>
    <row r="14" spans="1:15" ht="12.75" outlineLevel="1">
      <c r="A14" s="513" t="s">
        <v>326</v>
      </c>
      <c r="B14" s="513" t="s">
        <v>292</v>
      </c>
      <c r="C14" s="428" t="str">
        <f>VLOOKUP(B14,Справочники!$B:$F,3,FALSE)</f>
        <v>Доходы от продажи програмного обеспечения</v>
      </c>
      <c r="D14" s="1054">
        <f>VLOOKUP($A14,'План продаж '!$B$12:$O$47,COLUMN('План продаж '!D:D)-1,FALSE)</f>
        <v>0</v>
      </c>
      <c r="E14" s="1054">
        <f>VLOOKUP($A14,'План продаж '!$B$12:$O$47,COLUMN('План продаж '!E:E)-1,FALSE)</f>
        <v>8500</v>
      </c>
      <c r="F14" s="1054">
        <f>VLOOKUP($A14,'План продаж '!$B$12:$O$47,COLUMN('План продаж '!F:F)-1,FALSE)</f>
        <v>8500</v>
      </c>
      <c r="G14" s="1054">
        <f>VLOOKUP($A14,'План продаж '!$B$12:$O$47,COLUMN('План продаж '!G:G)-1,FALSE)</f>
        <v>8500</v>
      </c>
      <c r="H14" s="1054">
        <f>VLOOKUP($A14,'План продаж '!$B$12:$O$47,COLUMN('План продаж '!H:H)-1,FALSE)</f>
        <v>100000</v>
      </c>
      <c r="I14" s="1054">
        <f>VLOOKUP($A14,'План продаж '!$B$12:$O$47,COLUMN('План продаж '!I:I)-1,FALSE)</f>
        <v>300000</v>
      </c>
      <c r="J14" s="1054">
        <f>VLOOKUP($A14,'План продаж '!$B$12:$O$47,COLUMN('План продаж '!J:J)-1,FALSE)</f>
        <v>300000</v>
      </c>
      <c r="K14" s="955">
        <f>VLOOKUP($A14,'План продаж '!$B$12:$O$47,COLUMN('План продаж '!K:K)-1,FALSE)</f>
        <v>0</v>
      </c>
      <c r="L14" s="955">
        <f>VLOOKUP($A14,'План продаж '!$B$12:$O$47,COLUMN('План продаж '!L:L)-1,FALSE)</f>
        <v>0</v>
      </c>
      <c r="M14" s="955">
        <f>VLOOKUP($A14,'План продаж '!$B$12:$O$47,COLUMN('План продаж '!M:M)-1,FALSE)</f>
        <v>0</v>
      </c>
      <c r="N14" s="955">
        <f>VLOOKUP($A14,'План продаж '!$B$12:$O$47,COLUMN('План продаж '!N:N)-1,FALSE)</f>
        <v>0</v>
      </c>
      <c r="O14" s="956">
        <f>VLOOKUP($A14,'План продаж '!$B$12:$O$47,COLUMN('План продаж '!O:O)-1,FALSE)</f>
        <v>0</v>
      </c>
    </row>
    <row r="15" spans="1:15" ht="12.75" outlineLevel="1">
      <c r="A15" s="513" t="s">
        <v>327</v>
      </c>
      <c r="B15" s="513" t="s">
        <v>293</v>
      </c>
      <c r="C15" s="428" t="str">
        <f>VLOOKUP(B15,Справочники!$B:$F,3,FALSE)</f>
        <v>Доходы от продажи услуг</v>
      </c>
      <c r="D15" s="1054">
        <f>VLOOKUP($A15,'План продаж '!$B$12:$O$47,COLUMN('План продаж '!D:D)-1,FALSE)</f>
        <v>17000</v>
      </c>
      <c r="E15" s="1054">
        <f>VLOOKUP($A15,'План продаж '!$B$12:$O$47,COLUMN('План продаж '!E:E)-1,FALSE)</f>
        <v>17000</v>
      </c>
      <c r="F15" s="1054">
        <f>VLOOKUP($A15,'План продаж '!$B$12:$O$47,COLUMN('План продаж '!F:F)-1,FALSE)</f>
        <v>25500</v>
      </c>
      <c r="G15" s="1054">
        <f>VLOOKUP($A15,'План продаж '!$B$12:$O$47,COLUMN('План продаж '!G:G)-1,FALSE)</f>
        <v>34000</v>
      </c>
      <c r="H15" s="1054">
        <f>VLOOKUP($A15,'План продаж '!$B$12:$O$47,COLUMN('План продаж '!H:H)-1,FALSE)</f>
        <v>2300000</v>
      </c>
      <c r="I15" s="1054">
        <f>VLOOKUP($A15,'План продаж '!$B$12:$O$47,COLUMN('План продаж '!I:I)-1,FALSE)</f>
        <v>7400000</v>
      </c>
      <c r="J15" s="1054">
        <f>VLOOKUP($A15,'План продаж '!$B$12:$O$47,COLUMN('План продаж '!J:J)-1,FALSE)</f>
        <v>14000000</v>
      </c>
      <c r="K15" s="955">
        <f>VLOOKUP($A15,'План продаж '!$B$12:$O$47,COLUMN('План продаж '!K:K)-1,FALSE)</f>
        <v>0</v>
      </c>
      <c r="L15" s="955">
        <f>VLOOKUP($A15,'План продаж '!$B$12:$O$47,COLUMN('План продаж '!L:L)-1,FALSE)</f>
        <v>0</v>
      </c>
      <c r="M15" s="955">
        <f>VLOOKUP($A15,'План продаж '!$B$12:$O$47,COLUMN('План продаж '!M:M)-1,FALSE)</f>
        <v>0</v>
      </c>
      <c r="N15" s="955">
        <f>VLOOKUP($A15,'План продаж '!$B$12:$O$47,COLUMN('План продаж '!N:N)-1,FALSE)</f>
        <v>0</v>
      </c>
      <c r="O15" s="956">
        <f>VLOOKUP($A15,'План продаж '!$B$12:$O$47,COLUMN('План продаж '!O:O)-1,FALSE)</f>
        <v>0</v>
      </c>
    </row>
    <row r="16" spans="1:15" ht="12.75" outlineLevel="1">
      <c r="A16" s="513" t="s">
        <v>328</v>
      </c>
      <c r="B16" s="513" t="s">
        <v>134</v>
      </c>
      <c r="C16" s="428" t="str">
        <f>VLOOKUP(B16,Справочники!$B:$F,3,FALSE)</f>
        <v>Доходы от продажи адаптера</v>
      </c>
      <c r="D16" s="1054">
        <f>VLOOKUP($A16,'План продаж '!$B$12:$O$47,COLUMN('План продаж '!D:D)-1,FALSE)</f>
        <v>0</v>
      </c>
      <c r="E16" s="1054">
        <f>VLOOKUP($A16,'План продаж '!$B$12:$O$47,COLUMN('План продаж '!E:E)-1,FALSE)</f>
        <v>0</v>
      </c>
      <c r="F16" s="1054">
        <f>VLOOKUP($A16,'План продаж '!$B$12:$O$47,COLUMN('План продаж '!F:F)-1,FALSE)</f>
        <v>0</v>
      </c>
      <c r="G16" s="1054">
        <f>VLOOKUP($A16,'План продаж '!$B$12:$O$47,COLUMN('План продаж '!G:G)-1,FALSE)</f>
        <v>0</v>
      </c>
      <c r="H16" s="1054">
        <f>VLOOKUP($A16,'План продаж '!$B$12:$O$47,COLUMN('План продаж '!H:H)-1,FALSE)</f>
        <v>483050.8474576271</v>
      </c>
      <c r="I16" s="1054">
        <f>VLOOKUP($A16,'План продаж '!$B$12:$O$47,COLUMN('План продаж '!I:I)-1,FALSE)</f>
        <v>676271.186440678</v>
      </c>
      <c r="J16" s="1054">
        <f>VLOOKUP($A16,'План продаж '!$B$12:$O$47,COLUMN('План продаж '!J:J)-1,FALSE)</f>
        <v>966101.6949152543</v>
      </c>
      <c r="K16" s="955">
        <f>VLOOKUP($A16,'План продаж '!$B$12:$O$47,COLUMN('План продаж '!K:K)-1,FALSE)</f>
        <v>805084.7457627119</v>
      </c>
      <c r="L16" s="955">
        <f>VLOOKUP($A16,'План продаж '!$B$12:$O$47,COLUMN('План продаж '!L:L)-1,FALSE)</f>
        <v>515254.2372881356</v>
      </c>
      <c r="M16" s="955">
        <f>VLOOKUP($A16,'План продаж '!$B$12:$O$47,COLUMN('План продаж '!M:M)-1,FALSE)</f>
        <v>0</v>
      </c>
      <c r="N16" s="955">
        <f>VLOOKUP($A16,'План продаж '!$B$12:$O$47,COLUMN('План продаж '!N:N)-1,FALSE)</f>
        <v>0</v>
      </c>
      <c r="O16" s="956">
        <f>VLOOKUP($A16,'План продаж '!$B$12:$O$47,COLUMN('План продаж '!O:O)-1,FALSE)</f>
        <v>0</v>
      </c>
    </row>
    <row r="17" spans="1:15" ht="12.75" outlineLevel="1">
      <c r="A17" s="513" t="s">
        <v>280</v>
      </c>
      <c r="B17" s="513" t="s">
        <v>506</v>
      </c>
      <c r="C17" s="428" t="str">
        <f>VLOOKUP(B17,Справочники!$B:$F,3,FALSE)</f>
        <v>Доходы от продажи продукта N (Гос. Инвестиции )</v>
      </c>
      <c r="D17" s="1054">
        <f>VLOOKUP($A17,'План продаж '!$B$12:$O$47,COLUMN('План продаж '!D:D)-1,FALSE)</f>
        <v>32600</v>
      </c>
      <c r="E17" s="1054">
        <f>VLOOKUP($A17,'План продаж '!$B$12:$O$47,COLUMN('План продаж '!E:E)-1,FALSE)</f>
        <v>76066.66666666667</v>
      </c>
      <c r="F17" s="1054">
        <f>VLOOKUP($A17,'План продаж '!$B$12:$O$47,COLUMN('План продаж '!F:F)-1,FALSE)</f>
        <v>8400</v>
      </c>
      <c r="G17" s="1054">
        <f>VLOOKUP($A17,'План продаж '!$B$12:$O$47,COLUMN('План продаж '!G:G)-1,FALSE)</f>
        <v>19600</v>
      </c>
      <c r="H17" s="1054">
        <f>VLOOKUP($A17,'План продаж '!$B$12:$O$47,COLUMN('План продаж '!H:H)-1,FALSE)</f>
        <v>0</v>
      </c>
      <c r="I17" s="1054">
        <f>VLOOKUP($A17,'План продаж '!$B$12:$O$47,COLUMN('План продаж '!I:I)-1,FALSE)</f>
        <v>0</v>
      </c>
      <c r="J17" s="1054">
        <f>VLOOKUP($A17,'План продаж '!$B$12:$O$47,COLUMN('План продаж '!J:J)-1,FALSE)</f>
        <v>0</v>
      </c>
      <c r="K17" s="955">
        <f>VLOOKUP($A17,'План продаж '!$B$12:$O$47,COLUMN('План продаж '!K:K)-1,FALSE)</f>
        <v>0</v>
      </c>
      <c r="L17" s="955">
        <f>VLOOKUP($A17,'План продаж '!$B$12:$O$47,COLUMN('План продаж '!L:L)-1,FALSE)</f>
        <v>0</v>
      </c>
      <c r="M17" s="955">
        <f>VLOOKUP($A17,'План продаж '!$B$12:$O$47,COLUMN('План продаж '!M:M)-1,FALSE)</f>
        <v>0</v>
      </c>
      <c r="N17" s="955">
        <f>VLOOKUP($A17,'План продаж '!$B$12:$O$47,COLUMN('План продаж '!N:N)-1,FALSE)</f>
        <v>0</v>
      </c>
      <c r="O17" s="956">
        <f>VLOOKUP($A17,'План продаж '!$B$12:$O$47,COLUMN('План продаж '!O:O)-1,FALSE)</f>
        <v>0</v>
      </c>
    </row>
    <row r="18" spans="1:15" s="1" customFormat="1" ht="12.75" outlineLevel="1" collapsed="1">
      <c r="A18" s="751"/>
      <c r="B18" s="513" t="s">
        <v>508</v>
      </c>
      <c r="C18" s="471" t="str">
        <f>VLOOKUP(B18,Справочники!$B:$F,3,FALSE)</f>
        <v>Прочие доходы </v>
      </c>
      <c r="D18" s="1055"/>
      <c r="E18" s="1055"/>
      <c r="F18" s="1055"/>
      <c r="G18" s="1055"/>
      <c r="H18" s="1055"/>
      <c r="I18" s="1055"/>
      <c r="J18" s="1055"/>
      <c r="K18" s="957"/>
      <c r="L18" s="957"/>
      <c r="M18" s="957"/>
      <c r="N18" s="957"/>
      <c r="O18" s="958"/>
    </row>
    <row r="19" spans="1:15" s="45" customFormat="1" ht="14.25">
      <c r="A19" s="751"/>
      <c r="B19" s="750"/>
      <c r="C19" s="672" t="s">
        <v>542</v>
      </c>
      <c r="D19" s="1053">
        <f>SUM(D21:D27)</f>
        <v>599570</v>
      </c>
      <c r="E19" s="1053">
        <f aca="true" t="shared" si="3" ref="E19:O19">SUM(E21:E27)</f>
        <v>808755</v>
      </c>
      <c r="F19" s="1053">
        <f t="shared" si="3"/>
        <v>903555</v>
      </c>
      <c r="G19" s="1053">
        <f t="shared" si="3"/>
        <v>944355</v>
      </c>
      <c r="H19" s="1053">
        <f t="shared" si="3"/>
        <v>6545932.203389831</v>
      </c>
      <c r="I19" s="1053">
        <f t="shared" si="3"/>
        <v>12130305.084745763</v>
      </c>
      <c r="J19" s="1053">
        <f t="shared" si="3"/>
        <v>18676864.40677966</v>
      </c>
      <c r="K19" s="671">
        <f t="shared" si="3"/>
        <v>668220.3389830508</v>
      </c>
      <c r="L19" s="671">
        <f t="shared" si="3"/>
        <v>427661.0169491526</v>
      </c>
      <c r="M19" s="671">
        <f t="shared" si="3"/>
        <v>0</v>
      </c>
      <c r="N19" s="671">
        <f t="shared" si="3"/>
        <v>0</v>
      </c>
      <c r="O19" s="877">
        <f t="shared" si="3"/>
        <v>0</v>
      </c>
    </row>
    <row r="20" spans="1:15" s="45" customFormat="1" ht="12.75">
      <c r="A20" s="751"/>
      <c r="B20" s="750"/>
      <c r="C20" s="472" t="s">
        <v>350</v>
      </c>
      <c r="D20" s="1053"/>
      <c r="E20" s="1053"/>
      <c r="F20" s="1053"/>
      <c r="G20" s="1053"/>
      <c r="H20" s="1053"/>
      <c r="I20" s="1053"/>
      <c r="J20" s="1053"/>
      <c r="K20" s="671"/>
      <c r="L20" s="671"/>
      <c r="M20" s="671"/>
      <c r="N20" s="671"/>
      <c r="O20" s="877"/>
    </row>
    <row r="21" spans="1:15" ht="12.75" outlineLevel="1">
      <c r="A21" s="751"/>
      <c r="B21" s="513" t="s">
        <v>323</v>
      </c>
      <c r="C21" s="428" t="str">
        <f>VLOOKUP(B21,Справочники!$B:$F,3,FALSE)</f>
        <v>Специализированные комплексы</v>
      </c>
      <c r="D21" s="1054">
        <f>VLOOKUP($B21,'План продаж '!$B$63:$O$98,COLUMN('План продаж '!D:D)-1,FALSE)</f>
        <v>463970</v>
      </c>
      <c r="E21" s="1054">
        <f>VLOOKUP($B21,'План продаж '!$B$63:$O$98,COLUMN('План продаж '!E:E)-1,FALSE)</f>
        <v>619180</v>
      </c>
      <c r="F21" s="1054">
        <f>VLOOKUP($B21,'План продаж '!$B$63:$O$98,COLUMN('План продаж '!F:F)-1,FALSE)</f>
        <v>619180</v>
      </c>
      <c r="G21" s="1054">
        <f>VLOOKUP($B21,'План продаж '!$B$63:$O$98,COLUMN('План продаж '!G:G)-1,FALSE)</f>
        <v>619180</v>
      </c>
      <c r="H21" s="1054">
        <f>VLOOKUP($B21,'План продаж '!$B$63:$O$98,COLUMN('План продаж '!H:H)-1,FALSE)</f>
        <v>4150000</v>
      </c>
      <c r="I21" s="1054">
        <f>VLOOKUP($B21,'План продаж '!$B$63:$O$98,COLUMN('План продаж '!I:I)-1,FALSE)</f>
        <v>6640000</v>
      </c>
      <c r="J21" s="1054">
        <f>VLOOKUP($B21,'План продаж '!$B$63:$O$98,COLUMN('План продаж '!J:J)-1,FALSE)</f>
        <v>12450000</v>
      </c>
      <c r="K21" s="955">
        <f>VLOOKUP($B21,'План продаж '!$B$63:$O$98,COLUMN('План продаж '!K:K)-1,FALSE)</f>
        <v>0</v>
      </c>
      <c r="L21" s="955">
        <f>VLOOKUP($B21,'План продаж '!$B$63:$O$98,COLUMN('План продаж '!L:L)-1,FALSE)</f>
        <v>0</v>
      </c>
      <c r="M21" s="955">
        <f>VLOOKUP($B21,'План продаж '!$B$63:$O$98,COLUMN('План продаж '!M:M)-1,FALSE)</f>
        <v>0</v>
      </c>
      <c r="N21" s="955">
        <f>VLOOKUP($B21,'План продаж '!$B$63:$O$98,COLUMN('План продаж '!N:N)-1,FALSE)</f>
        <v>0</v>
      </c>
      <c r="O21" s="956">
        <f>VLOOKUP($B21,'План продаж '!$B$63:$O$98,COLUMN('План продаж '!O:O)-1,FALSE)</f>
        <v>0</v>
      </c>
    </row>
    <row r="22" spans="1:15" ht="12.75" outlineLevel="1">
      <c r="A22" s="751"/>
      <c r="B22" s="513" t="s">
        <v>324</v>
      </c>
      <c r="C22" s="428" t="str">
        <f>VLOOKUP(B22,Справочники!$B:$F,3,FALSE)</f>
        <v>Серверные решения</v>
      </c>
      <c r="D22" s="1054">
        <f>VLOOKUP($B22,'План продаж '!$B$63:$O$98,COLUMN('План продаж '!D:D)-1,FALSE)</f>
        <v>122000</v>
      </c>
      <c r="E22" s="1054">
        <f>VLOOKUP($B22,'План продаж '!$B$63:$O$98,COLUMN('План продаж '!E:E)-1,FALSE)</f>
        <v>162800</v>
      </c>
      <c r="F22" s="1054">
        <f>VLOOKUP($B22,'План продаж '!$B$63:$O$98,COLUMN('План продаж '!F:F)-1,FALSE)</f>
        <v>244000</v>
      </c>
      <c r="G22" s="1054">
        <f>VLOOKUP($B22,'План продаж '!$B$63:$O$98,COLUMN('План продаж '!G:G)-1,FALSE)</f>
        <v>284800</v>
      </c>
      <c r="H22" s="1054">
        <f>VLOOKUP($B22,'План продаж '!$B$63:$O$98,COLUMN('План продаж '!H:H)-1,FALSE)</f>
        <v>960000</v>
      </c>
      <c r="I22" s="1054">
        <f>VLOOKUP($B22,'План продаж '!$B$63:$O$98,COLUMN('План продаж '!I:I)-1,FALSE)</f>
        <v>2384000</v>
      </c>
      <c r="J22" s="1054">
        <f>VLOOKUP($B22,'План продаж '!$B$63:$O$98,COLUMN('План продаж '!J:J)-1,FALSE)</f>
        <v>3200000</v>
      </c>
      <c r="K22" s="955">
        <f>VLOOKUP($B22,'План продаж '!$B$63:$O$98,COLUMN('План продаж '!K:K)-1,FALSE)</f>
        <v>0</v>
      </c>
      <c r="L22" s="955">
        <f>VLOOKUP($B22,'План продаж '!$B$63:$O$98,COLUMN('План продаж '!L:L)-1,FALSE)</f>
        <v>0</v>
      </c>
      <c r="M22" s="955">
        <f>VLOOKUP($B22,'План продаж '!$B$63:$O$98,COLUMN('План продаж '!M:M)-1,FALSE)</f>
        <v>0</v>
      </c>
      <c r="N22" s="955">
        <f>VLOOKUP($B22,'План продаж '!$B$63:$O$98,COLUMN('План продаж '!N:N)-1,FALSE)</f>
        <v>0</v>
      </c>
      <c r="O22" s="956">
        <f>VLOOKUP($B22,'План продаж '!$B$63:$O$98,COLUMN('План продаж '!O:O)-1,FALSE)</f>
        <v>0</v>
      </c>
    </row>
    <row r="23" spans="1:15" ht="12.75" outlineLevel="1">
      <c r="A23" s="751"/>
      <c r="B23" s="513" t="s">
        <v>325</v>
      </c>
      <c r="C23" s="428" t="str">
        <f>VLOOKUP(B23,Справочники!$B:$F,3,FALSE)</f>
        <v>Системы хранения данных</v>
      </c>
      <c r="D23" s="1054">
        <f>VLOOKUP($B23,'План продаж '!$B$63:$O$98,COLUMN('План продаж '!D:D)-1,FALSE)</f>
        <v>13600</v>
      </c>
      <c r="E23" s="1054">
        <f>VLOOKUP($B23,'План продаж '!$B$63:$O$98,COLUMN('План продаж '!E:E)-1,FALSE)</f>
        <v>20400</v>
      </c>
      <c r="F23" s="1054">
        <f>VLOOKUP($B23,'План продаж '!$B$63:$O$98,COLUMN('План продаж '!F:F)-1,FALSE)</f>
        <v>34000</v>
      </c>
      <c r="G23" s="1054">
        <f>VLOOKUP($B23,'План продаж '!$B$63:$O$98,COLUMN('План продаж '!G:G)-1,FALSE)</f>
        <v>34000</v>
      </c>
      <c r="H23" s="1054">
        <f>VLOOKUP($B23,'План продаж '!$B$63:$O$98,COLUMN('План продаж '!H:H)-1,FALSE)</f>
        <v>960000</v>
      </c>
      <c r="I23" s="1054">
        <f>VLOOKUP($B23,'План продаж '!$B$63:$O$98,COLUMN('План продаж '!I:I)-1,FALSE)</f>
        <v>2320000</v>
      </c>
      <c r="J23" s="1054">
        <f>VLOOKUP($B23,'План продаж '!$B$63:$O$98,COLUMN('План продаж '!J:J)-1,FALSE)</f>
        <v>2000000</v>
      </c>
      <c r="K23" s="955">
        <f>VLOOKUP($B23,'План продаж '!$B$63:$O$98,COLUMN('План продаж '!K:K)-1,FALSE)</f>
        <v>0</v>
      </c>
      <c r="L23" s="955">
        <f>VLOOKUP($B23,'План продаж '!$B$63:$O$98,COLUMN('План продаж '!L:L)-1,FALSE)</f>
        <v>0</v>
      </c>
      <c r="M23" s="955">
        <f>VLOOKUP($B23,'План продаж '!$B$63:$O$98,COLUMN('План продаж '!M:M)-1,FALSE)</f>
        <v>0</v>
      </c>
      <c r="N23" s="955">
        <f>VLOOKUP($B23,'План продаж '!$B$63:$O$98,COLUMN('План продаж '!N:N)-1,FALSE)</f>
        <v>0</v>
      </c>
      <c r="O23" s="956">
        <f>VLOOKUP($B23,'План продаж '!$B$63:$O$98,COLUMN('План продаж '!O:O)-1,FALSE)</f>
        <v>0</v>
      </c>
    </row>
    <row r="24" spans="1:15" ht="12.75" outlineLevel="1">
      <c r="A24" s="751"/>
      <c r="B24" s="513" t="s">
        <v>326</v>
      </c>
      <c r="C24" s="428" t="str">
        <f>VLOOKUP(B24,Справочники!$B:$F,3,FALSE)</f>
        <v>Програмное обеспечение</v>
      </c>
      <c r="D24" s="1054">
        <f>VLOOKUP($B24,'План продаж '!$B$63:$O$98,COLUMN('План продаж '!D:D)-1,FALSE)</f>
        <v>0</v>
      </c>
      <c r="E24" s="1054">
        <f>VLOOKUP($B24,'План продаж '!$B$63:$O$98,COLUMN('План продаж '!E:E)-1,FALSE)</f>
        <v>6375</v>
      </c>
      <c r="F24" s="1054">
        <f>VLOOKUP($B24,'План продаж '!$B$63:$O$98,COLUMN('План продаж '!F:F)-1,FALSE)</f>
        <v>6375</v>
      </c>
      <c r="G24" s="1054">
        <f>VLOOKUP($B24,'План продаж '!$B$63:$O$98,COLUMN('План продаж '!G:G)-1,FALSE)</f>
        <v>6375</v>
      </c>
      <c r="H24" s="1054">
        <f>VLOOKUP($B24,'План продаж '!$B$63:$O$98,COLUMN('План продаж '!H:H)-1,FALSE)</f>
        <v>75000</v>
      </c>
      <c r="I24" s="1054">
        <f>VLOOKUP($B24,'План продаж '!$B$63:$O$98,COLUMN('План продаж '!I:I)-1,FALSE)</f>
        <v>225000</v>
      </c>
      <c r="J24" s="1054">
        <f>VLOOKUP($B24,'План продаж '!$B$63:$O$98,COLUMN('План продаж '!J:J)-1,FALSE)</f>
        <v>225000</v>
      </c>
      <c r="K24" s="955">
        <f>VLOOKUP($B24,'План продаж '!$B$63:$O$98,COLUMN('План продаж '!K:K)-1,FALSE)</f>
        <v>0</v>
      </c>
      <c r="L24" s="955">
        <f>VLOOKUP($B24,'План продаж '!$B$63:$O$98,COLUMN('План продаж '!L:L)-1,FALSE)</f>
        <v>0</v>
      </c>
      <c r="M24" s="955">
        <f>VLOOKUP($B24,'План продаж '!$B$63:$O$98,COLUMN('План продаж '!M:M)-1,FALSE)</f>
        <v>0</v>
      </c>
      <c r="N24" s="955">
        <f>VLOOKUP($B24,'План продаж '!$B$63:$O$98,COLUMN('План продаж '!N:N)-1,FALSE)</f>
        <v>0</v>
      </c>
      <c r="O24" s="956">
        <f>VLOOKUP($B24,'План продаж '!$B$63:$O$98,COLUMN('План продаж '!O:O)-1,FALSE)</f>
        <v>0</v>
      </c>
    </row>
    <row r="25" spans="1:15" ht="12.75" outlineLevel="1">
      <c r="A25" s="751"/>
      <c r="B25" s="513" t="s">
        <v>327</v>
      </c>
      <c r="C25" s="428" t="str">
        <f>VLOOKUP(B25,Справочники!$B:$F,3,FALSE)</f>
        <v>Услуги</v>
      </c>
      <c r="D25" s="1054">
        <f>VLOOKUP($B25,'План продаж '!$B$63:$O$98,COLUMN('План продаж '!D:D)-1,FALSE)</f>
        <v>0</v>
      </c>
      <c r="E25" s="1054">
        <f>VLOOKUP($B25,'План продаж '!$B$63:$O$98,COLUMN('План продаж '!E:E)-1,FALSE)</f>
        <v>0</v>
      </c>
      <c r="F25" s="1054">
        <f>VLOOKUP($B25,'План продаж '!$B$63:$O$98,COLUMN('План продаж '!F:F)-1,FALSE)</f>
        <v>0</v>
      </c>
      <c r="G25" s="1054">
        <f>VLOOKUP($B25,'План продаж '!$B$63:$O$98,COLUMN('План продаж '!G:G)-1,FALSE)</f>
        <v>0</v>
      </c>
      <c r="H25" s="1054">
        <f>VLOOKUP($B25,'План продаж '!$B$63:$O$98,COLUMN('План продаж '!H:H)-1,FALSE)</f>
        <v>0</v>
      </c>
      <c r="I25" s="1054">
        <f>VLOOKUP($B25,'План продаж '!$B$63:$O$98,COLUMN('План продаж '!I:I)-1,FALSE)</f>
        <v>0</v>
      </c>
      <c r="J25" s="1054">
        <f>VLOOKUP($B25,'План продаж '!$B$63:$O$98,COLUMN('План продаж '!J:J)-1,FALSE)</f>
        <v>0</v>
      </c>
      <c r="K25" s="955">
        <f>VLOOKUP($B25,'План продаж '!$B$63:$O$98,COLUMN('План продаж '!K:K)-1,FALSE)</f>
        <v>0</v>
      </c>
      <c r="L25" s="955">
        <f>VLOOKUP($B25,'План продаж '!$B$63:$O$98,COLUMN('План продаж '!L:L)-1,FALSE)</f>
        <v>0</v>
      </c>
      <c r="M25" s="955">
        <f>VLOOKUP($B25,'План продаж '!$B$63:$O$98,COLUMN('План продаж '!M:M)-1,FALSE)</f>
        <v>0</v>
      </c>
      <c r="N25" s="955">
        <f>VLOOKUP($B25,'План продаж '!$B$63:$O$98,COLUMN('План продаж '!N:N)-1,FALSE)</f>
        <v>0</v>
      </c>
      <c r="O25" s="956">
        <f>VLOOKUP($B25,'План продаж '!$B$63:$O$98,COLUMN('План продаж '!O:O)-1,FALSE)</f>
        <v>0</v>
      </c>
    </row>
    <row r="26" spans="1:15" ht="12.75" outlineLevel="1">
      <c r="A26" s="751"/>
      <c r="B26" s="513" t="s">
        <v>328</v>
      </c>
      <c r="C26" s="428" t="str">
        <f>VLOOKUP(B26,Справочники!$B:$F,3,FALSE)</f>
        <v>Адаптер</v>
      </c>
      <c r="D26" s="1054">
        <f>VLOOKUP($B26,'План продаж '!$B$63:$O$98,COLUMN('План продаж '!D:D)-1,FALSE)</f>
        <v>0</v>
      </c>
      <c r="E26" s="1054">
        <f>VLOOKUP($B26,'План продаж '!$B$63:$O$98,COLUMN('План продаж '!E:E)-1,FALSE)</f>
        <v>0</v>
      </c>
      <c r="F26" s="1054">
        <f>VLOOKUP($B26,'План продаж '!$B$63:$O$98,COLUMN('План продаж '!F:F)-1,FALSE)</f>
        <v>0</v>
      </c>
      <c r="G26" s="1054">
        <f>VLOOKUP($B26,'План продаж '!$B$63:$O$98,COLUMN('План продаж '!G:G)-1,FALSE)</f>
        <v>0</v>
      </c>
      <c r="H26" s="1054">
        <f>VLOOKUP($B26,'План продаж '!$B$63:$O$98,COLUMN('План продаж '!H:H)-1,FALSE)</f>
        <v>400932.20338983054</v>
      </c>
      <c r="I26" s="1054">
        <f>VLOOKUP($B26,'План продаж '!$B$63:$O$98,COLUMN('План продаж '!I:I)-1,FALSE)</f>
        <v>561305.0847457626</v>
      </c>
      <c r="J26" s="1054">
        <f>VLOOKUP($B26,'План продаж '!$B$63:$O$98,COLUMN('План продаж '!J:J)-1,FALSE)</f>
        <v>801864.4067796611</v>
      </c>
      <c r="K26" s="955">
        <f>VLOOKUP($B26,'План продаж '!$B$63:$O$98,COLUMN('План продаж '!K:K)-1,FALSE)</f>
        <v>668220.3389830508</v>
      </c>
      <c r="L26" s="955">
        <f>VLOOKUP($B26,'План продаж '!$B$63:$O$98,COLUMN('План продаж '!L:L)-1,FALSE)</f>
        <v>427661.0169491526</v>
      </c>
      <c r="M26" s="955">
        <f>VLOOKUP($B26,'План продаж '!$B$63:$O$98,COLUMN('План продаж '!M:M)-1,FALSE)</f>
        <v>0</v>
      </c>
      <c r="N26" s="955">
        <f>VLOOKUP($B26,'План продаж '!$B$63:$O$98,COLUMN('План продаж '!N:N)-1,FALSE)</f>
        <v>0</v>
      </c>
      <c r="O26" s="956">
        <f>VLOOKUP($B26,'План продаж '!$B$63:$O$98,COLUMN('План продаж '!O:O)-1,FALSE)</f>
        <v>0</v>
      </c>
    </row>
    <row r="27" spans="1:15" ht="12.75" outlineLevel="1">
      <c r="A27" s="751"/>
      <c r="B27" s="513" t="s">
        <v>280</v>
      </c>
      <c r="C27" s="428" t="str">
        <f>VLOOKUP(B27,Справочники!$B:$F,3,FALSE)</f>
        <v>Продукт N - (Гос. Инвестиции)</v>
      </c>
      <c r="D27" s="1054">
        <f>VLOOKUP($B27,'План продаж '!$B$63:$O$98,COLUMN('План продаж '!D:D)-1,FALSE)</f>
        <v>0</v>
      </c>
      <c r="E27" s="1054">
        <f>VLOOKUP($B27,'План продаж '!$B$63:$O$98,COLUMN('План продаж '!E:E)-1,FALSE)</f>
        <v>0</v>
      </c>
      <c r="F27" s="1054">
        <f>VLOOKUP($B27,'План продаж '!$B$63:$O$98,COLUMN('План продаж '!F:F)-1,FALSE)</f>
        <v>0</v>
      </c>
      <c r="G27" s="1054">
        <f>VLOOKUP($B27,'План продаж '!$B$63:$O$98,COLUMN('План продаж '!G:G)-1,FALSE)</f>
        <v>0</v>
      </c>
      <c r="H27" s="1054">
        <f>VLOOKUP($B27,'План продаж '!$B$63:$O$98,COLUMN('План продаж '!H:H)-1,FALSE)</f>
        <v>0</v>
      </c>
      <c r="I27" s="1054">
        <f>VLOOKUP($B27,'План продаж '!$B$63:$O$98,COLUMN('План продаж '!I:I)-1,FALSE)</f>
        <v>0</v>
      </c>
      <c r="J27" s="1054">
        <f>VLOOKUP($B27,'План продаж '!$B$63:$O$98,COLUMN('План продаж '!J:J)-1,FALSE)</f>
        <v>0</v>
      </c>
      <c r="K27" s="955">
        <f>VLOOKUP($B27,'План продаж '!$B$63:$O$98,COLUMN('План продаж '!K:K)-1,FALSE)</f>
        <v>0</v>
      </c>
      <c r="L27" s="955">
        <f>VLOOKUP($B27,'План продаж '!$B$63:$O$98,COLUMN('План продаж '!L:L)-1,FALSE)</f>
        <v>0</v>
      </c>
      <c r="M27" s="955">
        <f>VLOOKUP($B27,'План продаж '!$B$63:$O$98,COLUMN('План продаж '!M:M)-1,FALSE)</f>
        <v>0</v>
      </c>
      <c r="N27" s="955">
        <f>VLOOKUP($B27,'План продаж '!$B$63:$O$98,COLUMN('План продаж '!N:N)-1,FALSE)</f>
        <v>0</v>
      </c>
      <c r="O27" s="956">
        <f>VLOOKUP($B27,'План продаж '!$B$63:$O$98,COLUMN('План продаж '!O:O)-1,FALSE)</f>
        <v>0</v>
      </c>
    </row>
    <row r="28" spans="1:15" s="336" customFormat="1" ht="12.75">
      <c r="A28" s="752"/>
      <c r="B28" s="745"/>
      <c r="C28" s="476" t="s">
        <v>541</v>
      </c>
      <c r="D28" s="1056">
        <f aca="true" t="shared" si="4" ref="D28:O28">D9-D19</f>
        <v>178530</v>
      </c>
      <c r="E28" s="1056">
        <f t="shared" si="4"/>
        <v>267811.66666666674</v>
      </c>
      <c r="F28" s="1056">
        <f t="shared" si="4"/>
        <v>232345</v>
      </c>
      <c r="G28" s="1056">
        <f t="shared" si="4"/>
        <v>262245</v>
      </c>
      <c r="H28" s="1056">
        <f t="shared" si="4"/>
        <v>3737118.644067796</v>
      </c>
      <c r="I28" s="1056">
        <f t="shared" si="4"/>
        <v>10125966.101694914</v>
      </c>
      <c r="J28" s="1056">
        <f t="shared" si="4"/>
        <v>18089237.288135596</v>
      </c>
      <c r="K28" s="630">
        <f t="shared" si="4"/>
        <v>136864.40677966108</v>
      </c>
      <c r="L28" s="630">
        <f t="shared" si="4"/>
        <v>87593.22033898305</v>
      </c>
      <c r="M28" s="630">
        <f t="shared" si="4"/>
        <v>0</v>
      </c>
      <c r="N28" s="630">
        <f t="shared" si="4"/>
        <v>0</v>
      </c>
      <c r="O28" s="874">
        <f t="shared" si="4"/>
        <v>0</v>
      </c>
    </row>
    <row r="29" spans="1:15" s="336" customFormat="1" ht="12.75">
      <c r="A29" s="752"/>
      <c r="B29" s="745"/>
      <c r="C29" s="737" t="s">
        <v>554</v>
      </c>
      <c r="D29" s="1057">
        <f aca="true" t="shared" si="5" ref="D29:O29">D28/D9</f>
        <v>0.22944351625755044</v>
      </c>
      <c r="E29" s="1057">
        <f t="shared" si="5"/>
        <v>0.2487645911384959</v>
      </c>
      <c r="F29" s="1057">
        <f t="shared" si="5"/>
        <v>0.20454705519852098</v>
      </c>
      <c r="G29" s="1057">
        <f t="shared" si="5"/>
        <v>0.21734211834908007</v>
      </c>
      <c r="H29" s="1057">
        <f t="shared" si="5"/>
        <v>0.36342508653370686</v>
      </c>
      <c r="I29" s="1057">
        <f t="shared" si="5"/>
        <v>0.45497136590715237</v>
      </c>
      <c r="J29" s="1057">
        <f t="shared" si="5"/>
        <v>0.49200857458971053</v>
      </c>
      <c r="K29" s="738">
        <f t="shared" si="5"/>
        <v>0.17000000000000007</v>
      </c>
      <c r="L29" s="738">
        <f t="shared" si="5"/>
        <v>0.16999999999999998</v>
      </c>
      <c r="M29" s="738" t="e">
        <f t="shared" si="5"/>
        <v>#DIV/0!</v>
      </c>
      <c r="N29" s="738" t="e">
        <f t="shared" si="5"/>
        <v>#DIV/0!</v>
      </c>
      <c r="O29" s="878" t="e">
        <f t="shared" si="5"/>
        <v>#DIV/0!</v>
      </c>
    </row>
    <row r="30" spans="1:15" s="336" customFormat="1" ht="12.75">
      <c r="A30" s="752"/>
      <c r="B30" s="745"/>
      <c r="C30" s="476" t="s">
        <v>556</v>
      </c>
      <c r="D30" s="1056">
        <f>D28</f>
        <v>178530</v>
      </c>
      <c r="E30" s="1056">
        <f aca="true" t="shared" si="6" ref="E30:O30">E28</f>
        <v>267811.66666666674</v>
      </c>
      <c r="F30" s="1056">
        <f t="shared" si="6"/>
        <v>232345</v>
      </c>
      <c r="G30" s="1056">
        <f t="shared" si="6"/>
        <v>262245</v>
      </c>
      <c r="H30" s="1056">
        <f t="shared" si="6"/>
        <v>3737118.644067796</v>
      </c>
      <c r="I30" s="1056">
        <f t="shared" si="6"/>
        <v>10125966.101694914</v>
      </c>
      <c r="J30" s="1056">
        <f t="shared" si="6"/>
        <v>18089237.288135596</v>
      </c>
      <c r="K30" s="630">
        <f t="shared" si="6"/>
        <v>136864.40677966108</v>
      </c>
      <c r="L30" s="630">
        <f t="shared" si="6"/>
        <v>87593.22033898305</v>
      </c>
      <c r="M30" s="630">
        <f t="shared" si="6"/>
        <v>0</v>
      </c>
      <c r="N30" s="630">
        <f t="shared" si="6"/>
        <v>0</v>
      </c>
      <c r="O30" s="874">
        <f t="shared" si="6"/>
        <v>0</v>
      </c>
    </row>
    <row r="31" spans="1:15" s="45" customFormat="1" ht="14.25" collapsed="1">
      <c r="A31" s="751"/>
      <c r="B31" s="512"/>
      <c r="C31" s="672" t="s">
        <v>29</v>
      </c>
      <c r="D31" s="1053">
        <f aca="true" t="shared" si="7" ref="D31:O31">SUM(D32,D46,D51,D56,D74,D77,D81,D86)</f>
        <v>214753.27685613127</v>
      </c>
      <c r="E31" s="1053">
        <f t="shared" si="7"/>
        <v>205943.4207329879</v>
      </c>
      <c r="F31" s="1053">
        <f t="shared" si="7"/>
        <v>225189.9129431779</v>
      </c>
      <c r="G31" s="1053">
        <f t="shared" si="7"/>
        <v>274473.8418588947</v>
      </c>
      <c r="H31" s="1053">
        <f t="shared" si="7"/>
        <v>1411361.8574477797</v>
      </c>
      <c r="I31" s="1053">
        <f t="shared" si="7"/>
        <v>1638077.2437430227</v>
      </c>
      <c r="J31" s="1053">
        <f t="shared" si="7"/>
        <v>1916515.798837701</v>
      </c>
      <c r="K31" s="671">
        <f t="shared" si="7"/>
        <v>1483228.1258405712</v>
      </c>
      <c r="L31" s="671">
        <f t="shared" si="7"/>
        <v>234714.0011188651</v>
      </c>
      <c r="M31" s="671">
        <f t="shared" si="7"/>
        <v>151409.94518246976</v>
      </c>
      <c r="N31" s="671">
        <f t="shared" si="7"/>
        <v>150546.56721217616</v>
      </c>
      <c r="O31" s="877">
        <f t="shared" si="7"/>
        <v>149683.18924188256</v>
      </c>
    </row>
    <row r="32" spans="1:15" s="1" customFormat="1" ht="12.75" collapsed="1">
      <c r="A32" s="751"/>
      <c r="B32" s="478" t="s">
        <v>295</v>
      </c>
      <c r="C32" s="472" t="str">
        <f>VLOOKUP(B32,Справочники!$B:$F,3,FALSE)</f>
        <v>Материальные затраты</v>
      </c>
      <c r="D32" s="1053">
        <f>VLOOKUP($B32,Расходы!$B$10:$O$82,COLUMN(Расходы!D:D)-1,FALSE)</f>
        <v>1100</v>
      </c>
      <c r="E32" s="1053">
        <f>VLOOKUP($B32,Расходы!$B$10:$O$82,COLUMN(Расходы!E:E)-1,FALSE)</f>
        <v>1100</v>
      </c>
      <c r="F32" s="1053">
        <f>VLOOKUP($B32,Расходы!$B$10:$O$82,COLUMN(Расходы!F:F)-1,FALSE)</f>
        <v>1100</v>
      </c>
      <c r="G32" s="1053">
        <f>VLOOKUP($B32,Расходы!$B$10:$O$82,COLUMN(Расходы!G:G)-1,FALSE)</f>
        <v>1100</v>
      </c>
      <c r="H32" s="1053">
        <f>VLOOKUP($B32,Расходы!$B$10:$O$82,COLUMN(Расходы!H:H)-1,FALSE)</f>
        <v>5000</v>
      </c>
      <c r="I32" s="1053">
        <f>VLOOKUP($B32,Расходы!$B$10:$O$82,COLUMN(Расходы!I:I)-1,FALSE)</f>
        <v>5500</v>
      </c>
      <c r="J32" s="1053">
        <f>VLOOKUP($B32,Расходы!$B$10:$O$82,COLUMN(Расходы!J:J)-1,FALSE)</f>
        <v>6000</v>
      </c>
      <c r="K32" s="671">
        <f>VLOOKUP($B32,Расходы!$B$10:$O$82,COLUMN(Расходы!K:K)-1,FALSE)</f>
        <v>6500</v>
      </c>
      <c r="L32" s="671">
        <f>VLOOKUP($B32,Расходы!$B$10:$O$82,COLUMN(Расходы!L:L)-1,FALSE)</f>
        <v>0</v>
      </c>
      <c r="M32" s="671">
        <f>VLOOKUP($B32,Расходы!$B$10:$O$82,COLUMN(Расходы!M:M)-1,FALSE)</f>
        <v>0</v>
      </c>
      <c r="N32" s="671">
        <f>VLOOKUP($B32,Расходы!$B$10:$O$82,COLUMN(Расходы!N:N)-1,FALSE)</f>
        <v>0</v>
      </c>
      <c r="O32" s="877">
        <f>VLOOKUP($B32,Расходы!$B$10:$O$82,COLUMN(Расходы!O:O)-1,FALSE)</f>
        <v>0</v>
      </c>
    </row>
    <row r="33" spans="1:15" s="1" customFormat="1" ht="12.75" hidden="1" outlineLevel="1">
      <c r="A33" s="751"/>
      <c r="B33" s="479" t="s">
        <v>296</v>
      </c>
      <c r="C33" s="471" t="str">
        <f>VLOOKUP(B33,Справочники!$B:$F,3,FALSE)</f>
        <v>Материалы на содержание и ремонт зданий и сооружений</v>
      </c>
      <c r="D33" s="1054">
        <f>VLOOKUP($B33,Расходы!$B$10:$O$82,COLUMN(Расходы!D:D)-1,FALSE)</f>
        <v>0</v>
      </c>
      <c r="E33" s="1054">
        <f>VLOOKUP($B33,Расходы!$B$10:$O$82,COLUMN(Расходы!E:E)-1,FALSE)</f>
        <v>0</v>
      </c>
      <c r="F33" s="1054">
        <f>VLOOKUP($B33,Расходы!$B$10:$O$82,COLUMN(Расходы!F:F)-1,FALSE)</f>
        <v>0</v>
      </c>
      <c r="G33" s="1054">
        <f>VLOOKUP($B33,Расходы!$B$10:$O$82,COLUMN(Расходы!G:G)-1,FALSE)</f>
        <v>0</v>
      </c>
      <c r="H33" s="1054">
        <f>VLOOKUP($B33,Расходы!$B$10:$O$82,COLUMN(Расходы!H:H)-1,FALSE)</f>
        <v>0</v>
      </c>
      <c r="I33" s="1054">
        <f>VLOOKUP($B33,Расходы!$B$10:$O$82,COLUMN(Расходы!I:I)-1,FALSE)</f>
        <v>0</v>
      </c>
      <c r="J33" s="1054">
        <f>VLOOKUP($B33,Расходы!$B$10:$O$82,COLUMN(Расходы!J:J)-1,FALSE)</f>
        <v>0</v>
      </c>
      <c r="K33" s="955">
        <f>VLOOKUP($B33,Расходы!$B$10:$O$82,COLUMN(Расходы!K:K)-1,FALSE)</f>
        <v>0</v>
      </c>
      <c r="L33" s="955">
        <f>VLOOKUP($B33,Расходы!$B$10:$O$82,COLUMN(Расходы!L:L)-1,FALSE)</f>
        <v>0</v>
      </c>
      <c r="M33" s="955">
        <f>VLOOKUP($B33,Расходы!$B$10:$O$82,COLUMN(Расходы!M:M)-1,FALSE)</f>
        <v>0</v>
      </c>
      <c r="N33" s="955">
        <f>VLOOKUP($B33,Расходы!$B$10:$O$82,COLUMN(Расходы!N:N)-1,FALSE)</f>
        <v>0</v>
      </c>
      <c r="O33" s="956">
        <f>VLOOKUP($B33,Расходы!$B$10:$O$82,COLUMN(Расходы!O:O)-1,FALSE)</f>
        <v>0</v>
      </c>
    </row>
    <row r="34" spans="1:15" s="1" customFormat="1" ht="12.75" hidden="1" outlineLevel="1">
      <c r="A34" s="751"/>
      <c r="B34" s="479" t="s">
        <v>297</v>
      </c>
      <c r="C34" s="471" t="str">
        <f>VLOOKUP(B34,Справочники!$B:$F,3,FALSE)</f>
        <v>Материалы на содержание и ремонт транспортных средств</v>
      </c>
      <c r="D34" s="1054">
        <f>VLOOKUP($B34,Расходы!$B$10:$O$82,COLUMN(Расходы!D:D)-1,FALSE)</f>
        <v>0</v>
      </c>
      <c r="E34" s="1054">
        <f>VLOOKUP($B34,Расходы!$B$10:$O$82,COLUMN(Расходы!E:E)-1,FALSE)</f>
        <v>0</v>
      </c>
      <c r="F34" s="1054">
        <f>VLOOKUP($B34,Расходы!$B$10:$O$82,COLUMN(Расходы!F:F)-1,FALSE)</f>
        <v>0</v>
      </c>
      <c r="G34" s="1054">
        <f>VLOOKUP($B34,Расходы!$B$10:$O$82,COLUMN(Расходы!G:G)-1,FALSE)</f>
        <v>0</v>
      </c>
      <c r="H34" s="1054">
        <f>VLOOKUP($B34,Расходы!$B$10:$O$82,COLUMN(Расходы!H:H)-1,FALSE)</f>
        <v>0</v>
      </c>
      <c r="I34" s="1054">
        <f>VLOOKUP($B34,Расходы!$B$10:$O$82,COLUMN(Расходы!I:I)-1,FALSE)</f>
        <v>0</v>
      </c>
      <c r="J34" s="1054">
        <f>VLOOKUP($B34,Расходы!$B$10:$O$82,COLUMN(Расходы!J:J)-1,FALSE)</f>
        <v>0</v>
      </c>
      <c r="K34" s="955">
        <f>VLOOKUP($B34,Расходы!$B$10:$O$82,COLUMN(Расходы!K:K)-1,FALSE)</f>
        <v>0</v>
      </c>
      <c r="L34" s="955">
        <f>VLOOKUP($B34,Расходы!$B$10:$O$82,COLUMN(Расходы!L:L)-1,FALSE)</f>
        <v>0</v>
      </c>
      <c r="M34" s="955">
        <f>VLOOKUP($B34,Расходы!$B$10:$O$82,COLUMN(Расходы!M:M)-1,FALSE)</f>
        <v>0</v>
      </c>
      <c r="N34" s="955">
        <f>VLOOKUP($B34,Расходы!$B$10:$O$82,COLUMN(Расходы!N:N)-1,FALSE)</f>
        <v>0</v>
      </c>
      <c r="O34" s="956">
        <f>VLOOKUP($B34,Расходы!$B$10:$O$82,COLUMN(Расходы!O:O)-1,FALSE)</f>
        <v>0</v>
      </c>
    </row>
    <row r="35" spans="1:15" s="1" customFormat="1" ht="12.75" hidden="1" outlineLevel="1">
      <c r="A35" s="751"/>
      <c r="B35" s="479" t="s">
        <v>298</v>
      </c>
      <c r="C35" s="471" t="str">
        <f>VLOOKUP(B35,Справочники!$B:$F,3,FALSE)</f>
        <v>Материалы на содержание и ремонт технол. оборудования</v>
      </c>
      <c r="D35" s="1054">
        <f>VLOOKUP($B35,Расходы!$B$10:$O$82,COLUMN(Расходы!D:D)-1,FALSE)</f>
        <v>0</v>
      </c>
      <c r="E35" s="1054">
        <f>VLOOKUP($B35,Расходы!$B$10:$O$82,COLUMN(Расходы!E:E)-1,FALSE)</f>
        <v>0</v>
      </c>
      <c r="F35" s="1054">
        <f>VLOOKUP($B35,Расходы!$B$10:$O$82,COLUMN(Расходы!F:F)-1,FALSE)</f>
        <v>0</v>
      </c>
      <c r="G35" s="1054">
        <f>VLOOKUP($B35,Расходы!$B$10:$O$82,COLUMN(Расходы!G:G)-1,FALSE)</f>
        <v>0</v>
      </c>
      <c r="H35" s="1054">
        <f>VLOOKUP($B35,Расходы!$B$10:$O$82,COLUMN(Расходы!H:H)-1,FALSE)</f>
        <v>0</v>
      </c>
      <c r="I35" s="1054">
        <f>VLOOKUP($B35,Расходы!$B$10:$O$82,COLUMN(Расходы!I:I)-1,FALSE)</f>
        <v>0</v>
      </c>
      <c r="J35" s="1054">
        <f>VLOOKUP($B35,Расходы!$B$10:$O$82,COLUMN(Расходы!J:J)-1,FALSE)</f>
        <v>0</v>
      </c>
      <c r="K35" s="955">
        <f>VLOOKUP($B35,Расходы!$B$10:$O$82,COLUMN(Расходы!K:K)-1,FALSE)</f>
        <v>0</v>
      </c>
      <c r="L35" s="955">
        <f>VLOOKUP($B35,Расходы!$B$10:$O$82,COLUMN(Расходы!L:L)-1,FALSE)</f>
        <v>0</v>
      </c>
      <c r="M35" s="955">
        <f>VLOOKUP($B35,Расходы!$B$10:$O$82,COLUMN(Расходы!M:M)-1,FALSE)</f>
        <v>0</v>
      </c>
      <c r="N35" s="955">
        <f>VLOOKUP($B35,Расходы!$B$10:$O$82,COLUMN(Расходы!N:N)-1,FALSE)</f>
        <v>0</v>
      </c>
      <c r="O35" s="956">
        <f>VLOOKUP($B35,Расходы!$B$10:$O$82,COLUMN(Расходы!O:O)-1,FALSE)</f>
        <v>0</v>
      </c>
    </row>
    <row r="36" spans="1:15" s="1" customFormat="1" ht="12.75" hidden="1" outlineLevel="1">
      <c r="A36" s="751"/>
      <c r="B36" s="479" t="s">
        <v>299</v>
      </c>
      <c r="C36" s="471" t="str">
        <f>VLOOKUP(B36,Справочники!$B:$F,3,FALSE)</f>
        <v>ГСМ</v>
      </c>
      <c r="D36" s="1054">
        <f>VLOOKUP($B36,Расходы!$B$10:$O$82,COLUMN(Расходы!D:D)-1,FALSE)</f>
        <v>0</v>
      </c>
      <c r="E36" s="1054">
        <f>VLOOKUP($B36,Расходы!$B$10:$O$82,COLUMN(Расходы!E:E)-1,FALSE)</f>
        <v>0</v>
      </c>
      <c r="F36" s="1054">
        <f>VLOOKUP($B36,Расходы!$B$10:$O$82,COLUMN(Расходы!F:F)-1,FALSE)</f>
        <v>0</v>
      </c>
      <c r="G36" s="1054">
        <f>VLOOKUP($B36,Расходы!$B$10:$O$82,COLUMN(Расходы!G:G)-1,FALSE)</f>
        <v>0</v>
      </c>
      <c r="H36" s="1054">
        <f>VLOOKUP($B36,Расходы!$B$10:$O$82,COLUMN(Расходы!H:H)-1,FALSE)</f>
        <v>0</v>
      </c>
      <c r="I36" s="1054">
        <f>VLOOKUP($B36,Расходы!$B$10:$O$82,COLUMN(Расходы!I:I)-1,FALSE)</f>
        <v>0</v>
      </c>
      <c r="J36" s="1054">
        <f>VLOOKUP($B36,Расходы!$B$10:$O$82,COLUMN(Расходы!J:J)-1,FALSE)</f>
        <v>0</v>
      </c>
      <c r="K36" s="955">
        <f>VLOOKUP($B36,Расходы!$B$10:$O$82,COLUMN(Расходы!K:K)-1,FALSE)</f>
        <v>0</v>
      </c>
      <c r="L36" s="955">
        <f>VLOOKUP($B36,Расходы!$B$10:$O$82,COLUMN(Расходы!L:L)-1,FALSE)</f>
        <v>0</v>
      </c>
      <c r="M36" s="955">
        <f>VLOOKUP($B36,Расходы!$B$10:$O$82,COLUMN(Расходы!M:M)-1,FALSE)</f>
        <v>0</v>
      </c>
      <c r="N36" s="955">
        <f>VLOOKUP($B36,Расходы!$B$10:$O$82,COLUMN(Расходы!N:N)-1,FALSE)</f>
        <v>0</v>
      </c>
      <c r="O36" s="956">
        <f>VLOOKUP($B36,Расходы!$B$10:$O$82,COLUMN(Расходы!O:O)-1,FALSE)</f>
        <v>0</v>
      </c>
    </row>
    <row r="37" spans="1:15" s="1" customFormat="1" ht="12.75" hidden="1" outlineLevel="1">
      <c r="A37" s="751"/>
      <c r="B37" s="479" t="s">
        <v>300</v>
      </c>
      <c r="C37" s="471" t="str">
        <f>VLOOKUP(B37,Справочники!$B:$F,3,FALSE)</f>
        <v>Расходные материалы для компьютерной и офисной техники</v>
      </c>
      <c r="D37" s="1054">
        <f>VLOOKUP($B37,Расходы!$B$10:$O$82,COLUMN(Расходы!D:D)-1,FALSE)</f>
        <v>0</v>
      </c>
      <c r="E37" s="1054">
        <f>VLOOKUP($B37,Расходы!$B$10:$O$82,COLUMN(Расходы!E:E)-1,FALSE)</f>
        <v>0</v>
      </c>
      <c r="F37" s="1054">
        <f>VLOOKUP($B37,Расходы!$B$10:$O$82,COLUMN(Расходы!F:F)-1,FALSE)</f>
        <v>0</v>
      </c>
      <c r="G37" s="1054">
        <f>VLOOKUP($B37,Расходы!$B$10:$O$82,COLUMN(Расходы!G:G)-1,FALSE)</f>
        <v>0</v>
      </c>
      <c r="H37" s="1054">
        <f>VLOOKUP($B37,Расходы!$B$10:$O$82,COLUMN(Расходы!H:H)-1,FALSE)</f>
        <v>0</v>
      </c>
      <c r="I37" s="1054">
        <f>VLOOKUP($B37,Расходы!$B$10:$O$82,COLUMN(Расходы!I:I)-1,FALSE)</f>
        <v>0</v>
      </c>
      <c r="J37" s="1054">
        <f>VLOOKUP($B37,Расходы!$B$10:$O$82,COLUMN(Расходы!J:J)-1,FALSE)</f>
        <v>0</v>
      </c>
      <c r="K37" s="955">
        <f>VLOOKUP($B37,Расходы!$B$10:$O$82,COLUMN(Расходы!K:K)-1,FALSE)</f>
        <v>0</v>
      </c>
      <c r="L37" s="955">
        <f>VLOOKUP($B37,Расходы!$B$10:$O$82,COLUMN(Расходы!L:L)-1,FALSE)</f>
        <v>0</v>
      </c>
      <c r="M37" s="955">
        <f>VLOOKUP($B37,Расходы!$B$10:$O$82,COLUMN(Расходы!M:M)-1,FALSE)</f>
        <v>0</v>
      </c>
      <c r="N37" s="955">
        <f>VLOOKUP($B37,Расходы!$B$10:$O$82,COLUMN(Расходы!N:N)-1,FALSE)</f>
        <v>0</v>
      </c>
      <c r="O37" s="956">
        <f>VLOOKUP($B37,Расходы!$B$10:$O$82,COLUMN(Расходы!O:O)-1,FALSE)</f>
        <v>0</v>
      </c>
    </row>
    <row r="38" spans="1:15" s="1" customFormat="1" ht="12.75" hidden="1" outlineLevel="1">
      <c r="A38" s="751"/>
      <c r="B38" s="479" t="s">
        <v>301</v>
      </c>
      <c r="C38" s="471" t="str">
        <f>VLOOKUP(B38,Справочники!$B:$F,3,FALSE)</f>
        <v>Запасные части для компьютерной и офисной техники</v>
      </c>
      <c r="D38" s="1054">
        <f>VLOOKUP($B38,Расходы!$B$10:$O$82,COLUMN(Расходы!D:D)-1,FALSE)</f>
        <v>0</v>
      </c>
      <c r="E38" s="1054">
        <f>VLOOKUP($B38,Расходы!$B$10:$O$82,COLUMN(Расходы!E:E)-1,FALSE)</f>
        <v>0</v>
      </c>
      <c r="F38" s="1054">
        <f>VLOOKUP($B38,Расходы!$B$10:$O$82,COLUMN(Расходы!F:F)-1,FALSE)</f>
        <v>0</v>
      </c>
      <c r="G38" s="1054">
        <f>VLOOKUP($B38,Расходы!$B$10:$O$82,COLUMN(Расходы!G:G)-1,FALSE)</f>
        <v>0</v>
      </c>
      <c r="H38" s="1054">
        <f>VLOOKUP($B38,Расходы!$B$10:$O$82,COLUMN(Расходы!H:H)-1,FALSE)</f>
        <v>0</v>
      </c>
      <c r="I38" s="1054">
        <f>VLOOKUP($B38,Расходы!$B$10:$O$82,COLUMN(Расходы!I:I)-1,FALSE)</f>
        <v>0</v>
      </c>
      <c r="J38" s="1054">
        <f>VLOOKUP($B38,Расходы!$B$10:$O$82,COLUMN(Расходы!J:J)-1,FALSE)</f>
        <v>0</v>
      </c>
      <c r="K38" s="955">
        <f>VLOOKUP($B38,Расходы!$B$10:$O$82,COLUMN(Расходы!K:K)-1,FALSE)</f>
        <v>0</v>
      </c>
      <c r="L38" s="955">
        <f>VLOOKUP($B38,Расходы!$B$10:$O$82,COLUMN(Расходы!L:L)-1,FALSE)</f>
        <v>0</v>
      </c>
      <c r="M38" s="955">
        <f>VLOOKUP($B38,Расходы!$B$10:$O$82,COLUMN(Расходы!M:M)-1,FALSE)</f>
        <v>0</v>
      </c>
      <c r="N38" s="955">
        <f>VLOOKUP($B38,Расходы!$B$10:$O$82,COLUMN(Расходы!N:N)-1,FALSE)</f>
        <v>0</v>
      </c>
      <c r="O38" s="956">
        <f>VLOOKUP($B38,Расходы!$B$10:$O$82,COLUMN(Расходы!O:O)-1,FALSE)</f>
        <v>0</v>
      </c>
    </row>
    <row r="39" spans="1:15" s="1" customFormat="1" ht="12.75" hidden="1" outlineLevel="1">
      <c r="A39" s="751"/>
      <c r="B39" s="479" t="s">
        <v>302</v>
      </c>
      <c r="C39" s="471" t="str">
        <f>VLOOKUP(B39,Справочники!$B:$F,3,FALSE)</f>
        <v>Хозяйственный инвентарь</v>
      </c>
      <c r="D39" s="1054">
        <f>VLOOKUP($B39,Расходы!$B$10:$O$82,COLUMN(Расходы!D:D)-1,FALSE)</f>
        <v>0</v>
      </c>
      <c r="E39" s="1054">
        <f>VLOOKUP($B39,Расходы!$B$10:$O$82,COLUMN(Расходы!E:E)-1,FALSE)</f>
        <v>0</v>
      </c>
      <c r="F39" s="1054">
        <f>VLOOKUP($B39,Расходы!$B$10:$O$82,COLUMN(Расходы!F:F)-1,FALSE)</f>
        <v>0</v>
      </c>
      <c r="G39" s="1054">
        <f>VLOOKUP($B39,Расходы!$B$10:$O$82,COLUMN(Расходы!G:G)-1,FALSE)</f>
        <v>0</v>
      </c>
      <c r="H39" s="1054">
        <f>VLOOKUP($B39,Расходы!$B$10:$O$82,COLUMN(Расходы!H:H)-1,FALSE)</f>
        <v>0</v>
      </c>
      <c r="I39" s="1054">
        <f>VLOOKUP($B39,Расходы!$B$10:$O$82,COLUMN(Расходы!I:I)-1,FALSE)</f>
        <v>0</v>
      </c>
      <c r="J39" s="1054">
        <f>VLOOKUP($B39,Расходы!$B$10:$O$82,COLUMN(Расходы!J:J)-1,FALSE)</f>
        <v>0</v>
      </c>
      <c r="K39" s="955">
        <f>VLOOKUP($B39,Расходы!$B$10:$O$82,COLUMN(Расходы!K:K)-1,FALSE)</f>
        <v>0</v>
      </c>
      <c r="L39" s="955">
        <f>VLOOKUP($B39,Расходы!$B$10:$O$82,COLUMN(Расходы!L:L)-1,FALSE)</f>
        <v>0</v>
      </c>
      <c r="M39" s="955">
        <f>VLOOKUP($B39,Расходы!$B$10:$O$82,COLUMN(Расходы!M:M)-1,FALSE)</f>
        <v>0</v>
      </c>
      <c r="N39" s="955">
        <f>VLOOKUP($B39,Расходы!$B$10:$O$82,COLUMN(Расходы!N:N)-1,FALSE)</f>
        <v>0</v>
      </c>
      <c r="O39" s="956">
        <f>VLOOKUP($B39,Расходы!$B$10:$O$82,COLUMN(Расходы!O:O)-1,FALSE)</f>
        <v>0</v>
      </c>
    </row>
    <row r="40" spans="1:15" s="1" customFormat="1" ht="12.75" hidden="1" outlineLevel="1">
      <c r="A40" s="751"/>
      <c r="B40" s="479" t="s">
        <v>303</v>
      </c>
      <c r="C40" s="471" t="str">
        <f>VLOOKUP(B40,Справочники!$B:$F,3,FALSE)</f>
        <v>Канцелярские товары</v>
      </c>
      <c r="D40" s="1054">
        <f>VLOOKUP($B40,Расходы!$B$10:$O$82,COLUMN(Расходы!D:D)-1,FALSE)</f>
        <v>0</v>
      </c>
      <c r="E40" s="1054">
        <f>VLOOKUP($B40,Расходы!$B$10:$O$82,COLUMN(Расходы!E:E)-1,FALSE)</f>
        <v>0</v>
      </c>
      <c r="F40" s="1054">
        <f>VLOOKUP($B40,Расходы!$B$10:$O$82,COLUMN(Расходы!F:F)-1,FALSE)</f>
        <v>0</v>
      </c>
      <c r="G40" s="1054">
        <f>VLOOKUP($B40,Расходы!$B$10:$O$82,COLUMN(Расходы!G:G)-1,FALSE)</f>
        <v>0</v>
      </c>
      <c r="H40" s="1054">
        <f>VLOOKUP($B40,Расходы!$B$10:$O$82,COLUMN(Расходы!H:H)-1,FALSE)</f>
        <v>0</v>
      </c>
      <c r="I40" s="1054">
        <f>VLOOKUP($B40,Расходы!$B$10:$O$82,COLUMN(Расходы!I:I)-1,FALSE)</f>
        <v>0</v>
      </c>
      <c r="J40" s="1054">
        <f>VLOOKUP($B40,Расходы!$B$10:$O$82,COLUMN(Расходы!J:J)-1,FALSE)</f>
        <v>0</v>
      </c>
      <c r="K40" s="955">
        <f>VLOOKUP($B40,Расходы!$B$10:$O$82,COLUMN(Расходы!K:K)-1,FALSE)</f>
        <v>0</v>
      </c>
      <c r="L40" s="955">
        <f>VLOOKUP($B40,Расходы!$B$10:$O$82,COLUMN(Расходы!L:L)-1,FALSE)</f>
        <v>0</v>
      </c>
      <c r="M40" s="955">
        <f>VLOOKUP($B40,Расходы!$B$10:$O$82,COLUMN(Расходы!M:M)-1,FALSE)</f>
        <v>0</v>
      </c>
      <c r="N40" s="955">
        <f>VLOOKUP($B40,Расходы!$B$10:$O$82,COLUMN(Расходы!N:N)-1,FALSE)</f>
        <v>0</v>
      </c>
      <c r="O40" s="956">
        <f>VLOOKUP($B40,Расходы!$B$10:$O$82,COLUMN(Расходы!O:O)-1,FALSE)</f>
        <v>0</v>
      </c>
    </row>
    <row r="41" spans="1:15" s="1" customFormat="1" ht="12.75" hidden="1" outlineLevel="1">
      <c r="A41" s="751"/>
      <c r="B41" s="479" t="s">
        <v>304</v>
      </c>
      <c r="C41" s="471" t="str">
        <f>VLOOKUP(B41,Справочники!$B:$F,3,FALSE)</f>
        <v>Продукты питания</v>
      </c>
      <c r="D41" s="1054">
        <f>VLOOKUP($B41,Расходы!$B$10:$O$82,COLUMN(Расходы!D:D)-1,FALSE)</f>
        <v>0</v>
      </c>
      <c r="E41" s="1054">
        <f>VLOOKUP($B41,Расходы!$B$10:$O$82,COLUMN(Расходы!E:E)-1,FALSE)</f>
        <v>0</v>
      </c>
      <c r="F41" s="1054">
        <f>VLOOKUP($B41,Расходы!$B$10:$O$82,COLUMN(Расходы!F:F)-1,FALSE)</f>
        <v>0</v>
      </c>
      <c r="G41" s="1054">
        <f>VLOOKUP($B41,Расходы!$B$10:$O$82,COLUMN(Расходы!G:G)-1,FALSE)</f>
        <v>0</v>
      </c>
      <c r="H41" s="1054">
        <f>VLOOKUP($B41,Расходы!$B$10:$O$82,COLUMN(Расходы!H:H)-1,FALSE)</f>
        <v>0</v>
      </c>
      <c r="I41" s="1054">
        <f>VLOOKUP($B41,Расходы!$B$10:$O$82,COLUMN(Расходы!I:I)-1,FALSE)</f>
        <v>0</v>
      </c>
      <c r="J41" s="1054">
        <f>VLOOKUP($B41,Расходы!$B$10:$O$82,COLUMN(Расходы!J:J)-1,FALSE)</f>
        <v>0</v>
      </c>
      <c r="K41" s="955">
        <f>VLOOKUP($B41,Расходы!$B$10:$O$82,COLUMN(Расходы!K:K)-1,FALSE)</f>
        <v>0</v>
      </c>
      <c r="L41" s="955">
        <f>VLOOKUP($B41,Расходы!$B$10:$O$82,COLUMN(Расходы!L:L)-1,FALSE)</f>
        <v>0</v>
      </c>
      <c r="M41" s="955">
        <f>VLOOKUP($B41,Расходы!$B$10:$O$82,COLUMN(Расходы!M:M)-1,FALSE)</f>
        <v>0</v>
      </c>
      <c r="N41" s="955">
        <f>VLOOKUP($B41,Расходы!$B$10:$O$82,COLUMN(Расходы!N:N)-1,FALSE)</f>
        <v>0</v>
      </c>
      <c r="O41" s="956">
        <f>VLOOKUP($B41,Расходы!$B$10:$O$82,COLUMN(Расходы!O:O)-1,FALSE)</f>
        <v>0</v>
      </c>
    </row>
    <row r="42" spans="1:15" s="1" customFormat="1" ht="12.75" hidden="1" outlineLevel="1">
      <c r="A42" s="751"/>
      <c r="B42" s="479" t="s">
        <v>306</v>
      </c>
      <c r="C42" s="471" t="str">
        <f>VLOOKUP(B42,Справочники!$B:$F,3,FALSE)</f>
        <v>Вода</v>
      </c>
      <c r="D42" s="1054">
        <f>VLOOKUP($B42,Расходы!$B$10:$O$82,COLUMN(Расходы!D:D)-1,FALSE)</f>
        <v>0</v>
      </c>
      <c r="E42" s="1054">
        <f>VLOOKUP($B42,Расходы!$B$10:$O$82,COLUMN(Расходы!E:E)-1,FALSE)</f>
        <v>0</v>
      </c>
      <c r="F42" s="1054">
        <f>VLOOKUP($B42,Расходы!$B$10:$O$82,COLUMN(Расходы!F:F)-1,FALSE)</f>
        <v>0</v>
      </c>
      <c r="G42" s="1054">
        <f>VLOOKUP($B42,Расходы!$B$10:$O$82,COLUMN(Расходы!G:G)-1,FALSE)</f>
        <v>0</v>
      </c>
      <c r="H42" s="1054">
        <f>VLOOKUP($B42,Расходы!$B$10:$O$82,COLUMN(Расходы!H:H)-1,FALSE)</f>
        <v>0</v>
      </c>
      <c r="I42" s="1054">
        <f>VLOOKUP($B42,Расходы!$B$10:$O$82,COLUMN(Расходы!I:I)-1,FALSE)</f>
        <v>0</v>
      </c>
      <c r="J42" s="1054">
        <f>VLOOKUP($B42,Расходы!$B$10:$O$82,COLUMN(Расходы!J:J)-1,FALSE)</f>
        <v>0</v>
      </c>
      <c r="K42" s="955">
        <f>VLOOKUP($B42,Расходы!$B$10:$O$82,COLUMN(Расходы!K:K)-1,FALSE)</f>
        <v>0</v>
      </c>
      <c r="L42" s="955">
        <f>VLOOKUP($B42,Расходы!$B$10:$O$82,COLUMN(Расходы!L:L)-1,FALSE)</f>
        <v>0</v>
      </c>
      <c r="M42" s="955">
        <f>VLOOKUP($B42,Расходы!$B$10:$O$82,COLUMN(Расходы!M:M)-1,FALSE)</f>
        <v>0</v>
      </c>
      <c r="N42" s="955">
        <f>VLOOKUP($B42,Расходы!$B$10:$O$82,COLUMN(Расходы!N:N)-1,FALSE)</f>
        <v>0</v>
      </c>
      <c r="O42" s="956">
        <f>VLOOKUP($B42,Расходы!$B$10:$O$82,COLUMN(Расходы!O:O)-1,FALSE)</f>
        <v>0</v>
      </c>
    </row>
    <row r="43" spans="1:15" s="1" customFormat="1" ht="12.75" hidden="1" outlineLevel="1">
      <c r="A43" s="751"/>
      <c r="B43" s="479" t="s">
        <v>307</v>
      </c>
      <c r="C43" s="471" t="str">
        <f>VLOOKUP(B43,Справочники!$B:$F,3,FALSE)</f>
        <v>Материалы для службы охраны</v>
      </c>
      <c r="D43" s="1054">
        <f>VLOOKUP($B43,Расходы!$B$10:$O$82,COLUMN(Расходы!D:D)-1,FALSE)</f>
        <v>0</v>
      </c>
      <c r="E43" s="1054">
        <f>VLOOKUP($B43,Расходы!$B$10:$O$82,COLUMN(Расходы!E:E)-1,FALSE)</f>
        <v>0</v>
      </c>
      <c r="F43" s="1054">
        <f>VLOOKUP($B43,Расходы!$B$10:$O$82,COLUMN(Расходы!F:F)-1,FALSE)</f>
        <v>0</v>
      </c>
      <c r="G43" s="1054">
        <f>VLOOKUP($B43,Расходы!$B$10:$O$82,COLUMN(Расходы!G:G)-1,FALSE)</f>
        <v>0</v>
      </c>
      <c r="H43" s="1054">
        <f>VLOOKUP($B43,Расходы!$B$10:$O$82,COLUMN(Расходы!H:H)-1,FALSE)</f>
        <v>0</v>
      </c>
      <c r="I43" s="1054">
        <f>VLOOKUP($B43,Расходы!$B$10:$O$82,COLUMN(Расходы!I:I)-1,FALSE)</f>
        <v>0</v>
      </c>
      <c r="J43" s="1054">
        <f>VLOOKUP($B43,Расходы!$B$10:$O$82,COLUMN(Расходы!J:J)-1,FALSE)</f>
        <v>0</v>
      </c>
      <c r="K43" s="955">
        <f>VLOOKUP($B43,Расходы!$B$10:$O$82,COLUMN(Расходы!K:K)-1,FALSE)</f>
        <v>0</v>
      </c>
      <c r="L43" s="955">
        <f>VLOOKUP($B43,Расходы!$B$10:$O$82,COLUMN(Расходы!L:L)-1,FALSE)</f>
        <v>0</v>
      </c>
      <c r="M43" s="955">
        <f>VLOOKUP($B43,Расходы!$B$10:$O$82,COLUMN(Расходы!M:M)-1,FALSE)</f>
        <v>0</v>
      </c>
      <c r="N43" s="955">
        <f>VLOOKUP($B43,Расходы!$B$10:$O$82,COLUMN(Расходы!N:N)-1,FALSE)</f>
        <v>0</v>
      </c>
      <c r="O43" s="956">
        <f>VLOOKUP($B43,Расходы!$B$10:$O$82,COLUMN(Расходы!O:O)-1,FALSE)</f>
        <v>0</v>
      </c>
    </row>
    <row r="44" spans="1:15" s="1" customFormat="1" ht="12.75" hidden="1" outlineLevel="1">
      <c r="A44" s="751"/>
      <c r="B44" s="479" t="s">
        <v>8</v>
      </c>
      <c r="C44" s="471" t="str">
        <f>VLOOKUP(B44,Справочники!$B:$F,3,FALSE)</f>
        <v>Электроэнергия</v>
      </c>
      <c r="D44" s="1054">
        <f>VLOOKUP($B44,Расходы!$B$10:$O$82,COLUMN(Расходы!D:D)-1,FALSE)</f>
        <v>0</v>
      </c>
      <c r="E44" s="1054">
        <f>VLOOKUP($B44,Расходы!$B$10:$O$82,COLUMN(Расходы!E:E)-1,FALSE)</f>
        <v>0</v>
      </c>
      <c r="F44" s="1054">
        <f>VLOOKUP($B44,Расходы!$B$10:$O$82,COLUMN(Расходы!F:F)-1,FALSE)</f>
        <v>0</v>
      </c>
      <c r="G44" s="1054">
        <f>VLOOKUP($B44,Расходы!$B$10:$O$82,COLUMN(Расходы!G:G)-1,FALSE)</f>
        <v>0</v>
      </c>
      <c r="H44" s="1054">
        <f>VLOOKUP($B44,Расходы!$B$10:$O$82,COLUMN(Расходы!H:H)-1,FALSE)</f>
        <v>0</v>
      </c>
      <c r="I44" s="1054">
        <f>VLOOKUP($B44,Расходы!$B$10:$O$82,COLUMN(Расходы!I:I)-1,FALSE)</f>
        <v>0</v>
      </c>
      <c r="J44" s="1054">
        <f>VLOOKUP($B44,Расходы!$B$10:$O$82,COLUMN(Расходы!J:J)-1,FALSE)</f>
        <v>0</v>
      </c>
      <c r="K44" s="955">
        <f>VLOOKUP($B44,Расходы!$B$10:$O$82,COLUMN(Расходы!K:K)-1,FALSE)</f>
        <v>0</v>
      </c>
      <c r="L44" s="955">
        <f>VLOOKUP($B44,Расходы!$B$10:$O$82,COLUMN(Расходы!L:L)-1,FALSE)</f>
        <v>0</v>
      </c>
      <c r="M44" s="955">
        <f>VLOOKUP($B44,Расходы!$B$10:$O$82,COLUMN(Расходы!M:M)-1,FALSE)</f>
        <v>0</v>
      </c>
      <c r="N44" s="955">
        <f>VLOOKUP($B44,Расходы!$B$10:$O$82,COLUMN(Расходы!N:N)-1,FALSE)</f>
        <v>0</v>
      </c>
      <c r="O44" s="956">
        <f>VLOOKUP($B44,Расходы!$B$10:$O$82,COLUMN(Расходы!O:O)-1,FALSE)</f>
        <v>0</v>
      </c>
    </row>
    <row r="45" spans="1:15" s="1" customFormat="1" ht="12.75" hidden="1" outlineLevel="1">
      <c r="A45" s="751"/>
      <c r="B45" s="479" t="s">
        <v>76</v>
      </c>
      <c r="C45" s="471" t="str">
        <f>VLOOKUP(B45,Справочники!$B:$F,3,FALSE)</f>
        <v>Прочие материалы</v>
      </c>
      <c r="D45" s="1054">
        <f>VLOOKUP($B45,Расходы!$B$10:$O$82,COLUMN(Расходы!D:D)-1,FALSE)</f>
        <v>1100</v>
      </c>
      <c r="E45" s="1054">
        <f>VLOOKUP($B45,Расходы!$B$10:$O$82,COLUMN(Расходы!E:E)-1,FALSE)</f>
        <v>1100</v>
      </c>
      <c r="F45" s="1054">
        <f>VLOOKUP($B45,Расходы!$B$10:$O$82,COLUMN(Расходы!F:F)-1,FALSE)</f>
        <v>1100</v>
      </c>
      <c r="G45" s="1054">
        <f>VLOOKUP($B45,Расходы!$B$10:$O$82,COLUMN(Расходы!G:G)-1,FALSE)</f>
        <v>1100</v>
      </c>
      <c r="H45" s="1054">
        <f>VLOOKUP($B45,Расходы!$B$10:$O$82,COLUMN(Расходы!H:H)-1,FALSE)</f>
        <v>5000</v>
      </c>
      <c r="I45" s="1054">
        <f>VLOOKUP($B45,Расходы!$B$10:$O$82,COLUMN(Расходы!I:I)-1,FALSE)</f>
        <v>5500</v>
      </c>
      <c r="J45" s="1054">
        <f>VLOOKUP($B45,Расходы!$B$10:$O$82,COLUMN(Расходы!J:J)-1,FALSE)</f>
        <v>6000</v>
      </c>
      <c r="K45" s="955">
        <f>VLOOKUP($B45,Расходы!$B$10:$O$82,COLUMN(Расходы!K:K)-1,FALSE)</f>
        <v>6500</v>
      </c>
      <c r="L45" s="955">
        <f>VLOOKUP($B45,Расходы!$B$10:$O$82,COLUMN(Расходы!L:L)-1,FALSE)</f>
        <v>0</v>
      </c>
      <c r="M45" s="955">
        <f>VLOOKUP($B45,Расходы!$B$10:$O$82,COLUMN(Расходы!M:M)-1,FALSE)</f>
        <v>0</v>
      </c>
      <c r="N45" s="955">
        <f>VLOOKUP($B45,Расходы!$B$10:$O$82,COLUMN(Расходы!N:N)-1,FALSE)</f>
        <v>0</v>
      </c>
      <c r="O45" s="956">
        <f>VLOOKUP($B45,Расходы!$B$10:$O$82,COLUMN(Расходы!O:O)-1,FALSE)</f>
        <v>0</v>
      </c>
    </row>
    <row r="46" spans="1:15" s="1" customFormat="1" ht="12.75" collapsed="1">
      <c r="A46" s="751"/>
      <c r="B46" s="478" t="s">
        <v>308</v>
      </c>
      <c r="C46" s="472" t="str">
        <f>VLOOKUP(B46,Справочники!$B:$F,3,FALSE)</f>
        <v>Расходы на оплату труда</v>
      </c>
      <c r="D46" s="1053">
        <f>VLOOKUP($B46,Расходы!$B$10:$O$82,COLUMN(Расходы!D:D)-1,FALSE)</f>
        <v>105238.5</v>
      </c>
      <c r="E46" s="1053">
        <f>VLOOKUP($B46,Расходы!$B$10:$O$82,COLUMN(Расходы!E:E)-1,FALSE)</f>
        <v>107023.5</v>
      </c>
      <c r="F46" s="1053">
        <f>VLOOKUP($B46,Расходы!$B$10:$O$82,COLUMN(Расходы!F:F)-1,FALSE)</f>
        <v>107912.5</v>
      </c>
      <c r="G46" s="1053">
        <f>VLOOKUP($B46,Расходы!$B$10:$O$82,COLUMN(Расходы!G:G)-1,FALSE)</f>
        <v>141669</v>
      </c>
      <c r="H46" s="1053">
        <f>VLOOKUP($B46,Расходы!$B$10:$O$82,COLUMN(Расходы!H:H)-1,FALSE)</f>
        <v>648711.0875706215</v>
      </c>
      <c r="I46" s="1053">
        <f>VLOOKUP($B46,Расходы!$B$10:$O$82,COLUMN(Расходы!I:I)-1,FALSE)</f>
        <v>768306.77259887</v>
      </c>
      <c r="J46" s="1053">
        <f>VLOOKUP($B46,Расходы!$B$10:$O$82,COLUMN(Расходы!J:J)-1,FALSE)</f>
        <v>906558.4668079097</v>
      </c>
      <c r="K46" s="671">
        <f>VLOOKUP($B46,Расходы!$B$10:$O$82,COLUMN(Расходы!K:K)-1,FALSE)</f>
        <v>799026.1778954802</v>
      </c>
      <c r="L46" s="671">
        <f>VLOOKUP($B46,Расходы!$B$10:$O$82,COLUMN(Расходы!L:L)-1,FALSE)</f>
        <v>0</v>
      </c>
      <c r="M46" s="671">
        <f>VLOOKUP($B46,Расходы!$B$10:$O$82,COLUMN(Расходы!M:M)-1,FALSE)</f>
        <v>0</v>
      </c>
      <c r="N46" s="671">
        <f>VLOOKUP($B46,Расходы!$B$10:$O$82,COLUMN(Расходы!N:N)-1,FALSE)</f>
        <v>0</v>
      </c>
      <c r="O46" s="877">
        <f>VLOOKUP($B46,Расходы!$B$10:$O$82,COLUMN(Расходы!O:O)-1,FALSE)</f>
        <v>0</v>
      </c>
    </row>
    <row r="47" spans="1:15" s="1" customFormat="1" ht="12.75" hidden="1" outlineLevel="1">
      <c r="A47" s="751"/>
      <c r="B47" s="479" t="s">
        <v>309</v>
      </c>
      <c r="C47" s="473" t="str">
        <f>VLOOKUP(B47,Справочники!$B:$F,3,FALSE)</f>
        <v>Окладная часть</v>
      </c>
      <c r="D47" s="1054">
        <f>VLOOKUP($B47,Расходы!$B$10:$O$82,COLUMN(Расходы!D:D)-1,FALSE)</f>
        <v>100020</v>
      </c>
      <c r="E47" s="1054">
        <f>VLOOKUP($B47,Расходы!$B$10:$O$82,COLUMN(Расходы!E:E)-1,FALSE)</f>
        <v>100020</v>
      </c>
      <c r="F47" s="1054">
        <f>VLOOKUP($B47,Расходы!$B$10:$O$82,COLUMN(Расходы!F:F)-1,FALSE)</f>
        <v>100020</v>
      </c>
      <c r="G47" s="1054">
        <f>VLOOKUP($B47,Расходы!$B$10:$O$82,COLUMN(Расходы!G:G)-1,FALSE)</f>
        <v>100020</v>
      </c>
      <c r="H47" s="1054">
        <f>VLOOKUP($B47,Расходы!$B$10:$O$82,COLUMN(Расходы!H:H)-1,FALSE)</f>
        <v>551350</v>
      </c>
      <c r="I47" s="1054">
        <f>VLOOKUP($B47,Расходы!$B$10:$O$82,COLUMN(Расходы!I:I)-1,FALSE)</f>
        <v>606485</v>
      </c>
      <c r="J47" s="1054">
        <f>VLOOKUP($B47,Расходы!$B$10:$O$82,COLUMN(Расходы!J:J)-1,FALSE)</f>
        <v>667133.5</v>
      </c>
      <c r="K47" s="955">
        <f>VLOOKUP($B47,Расходы!$B$10:$O$82,COLUMN(Расходы!K:K)-1,FALSE)</f>
        <v>733846.85</v>
      </c>
      <c r="L47" s="955">
        <f>VLOOKUP($B47,Расходы!$B$10:$O$82,COLUMN(Расходы!L:L)-1,FALSE)</f>
        <v>0</v>
      </c>
      <c r="M47" s="955">
        <f>VLOOKUP($B47,Расходы!$B$10:$O$82,COLUMN(Расходы!M:M)-1,FALSE)</f>
        <v>0</v>
      </c>
      <c r="N47" s="955">
        <f>VLOOKUP($B47,Расходы!$B$10:$O$82,COLUMN(Расходы!N:N)-1,FALSE)</f>
        <v>0</v>
      </c>
      <c r="O47" s="956">
        <f>VLOOKUP($B47,Расходы!$B$10:$O$82,COLUMN(Расходы!O:O)-1,FALSE)</f>
        <v>0</v>
      </c>
    </row>
    <row r="48" spans="1:15" s="1" customFormat="1" ht="12.75" hidden="1" outlineLevel="1">
      <c r="A48" s="751"/>
      <c r="B48" s="479" t="s">
        <v>310</v>
      </c>
      <c r="C48" s="473" t="str">
        <f>VLOOKUP(B48,Справочники!$B:$F,3,FALSE)</f>
        <v>Бонусы </v>
      </c>
      <c r="D48" s="1054">
        <f>VLOOKUP($B48,Расходы!$B$10:$O$82,COLUMN(Расходы!D:D)-1,FALSE)</f>
        <v>5218.499999999999</v>
      </c>
      <c r="E48" s="1054">
        <f>VLOOKUP($B48,Расходы!$B$10:$O$82,COLUMN(Расходы!E:E)-1,FALSE)</f>
        <v>7003.5</v>
      </c>
      <c r="F48" s="1054">
        <f>VLOOKUP($B48,Расходы!$B$10:$O$82,COLUMN(Расходы!F:F)-1,FALSE)</f>
        <v>7892.499999999999</v>
      </c>
      <c r="G48" s="1054">
        <f>VLOOKUP($B48,Расходы!$B$10:$O$82,COLUMN(Расходы!G:G)-1,FALSE)</f>
        <v>8309</v>
      </c>
      <c r="H48" s="1054">
        <f>VLOOKUP($B48,Расходы!$B$10:$O$82,COLUMN(Расходы!H:H)-1,FALSE)</f>
        <v>51415.254237288136</v>
      </c>
      <c r="I48" s="1054">
        <f>VLOOKUP($B48,Расходы!$B$10:$O$82,COLUMN(Расходы!I:I)-1,FALSE)</f>
        <v>111281.35593220338</v>
      </c>
      <c r="J48" s="1054">
        <f>VLOOKUP($B48,Расходы!$B$10:$O$82,COLUMN(Расходы!J:J)-1,FALSE)</f>
        <v>183830.5084745763</v>
      </c>
      <c r="K48" s="955">
        <f>VLOOKUP($B48,Расходы!$B$10:$O$82,COLUMN(Расходы!K:K)-1,FALSE)</f>
        <v>4025.4237288135596</v>
      </c>
      <c r="L48" s="955">
        <f>VLOOKUP($B48,Расходы!$B$10:$O$82,COLUMN(Расходы!L:L)-1,FALSE)</f>
        <v>0</v>
      </c>
      <c r="M48" s="955">
        <f>VLOOKUP($B48,Расходы!$B$10:$O$82,COLUMN(Расходы!M:M)-1,FALSE)</f>
        <v>0</v>
      </c>
      <c r="N48" s="955">
        <f>VLOOKUP($B48,Расходы!$B$10:$O$82,COLUMN(Расходы!N:N)-1,FALSE)</f>
        <v>0</v>
      </c>
      <c r="O48" s="956">
        <f>VLOOKUP($B48,Расходы!$B$10:$O$82,COLUMN(Расходы!O:O)-1,FALSE)</f>
        <v>0</v>
      </c>
    </row>
    <row r="49" spans="1:15" s="1" customFormat="1" ht="12.75" hidden="1" outlineLevel="1">
      <c r="A49" s="751"/>
      <c r="B49" s="479" t="s">
        <v>311</v>
      </c>
      <c r="C49" s="473" t="str">
        <f>VLOOKUP(B49,Справочники!$B:$F,3,FALSE)</f>
        <v>Вознаграждение по итогам года</v>
      </c>
      <c r="D49" s="1054">
        <f>VLOOKUP($B49,Расходы!$B$10:$O$82,COLUMN(Расходы!D:D)-1,FALSE)</f>
        <v>0</v>
      </c>
      <c r="E49" s="1054">
        <f>VLOOKUP($B49,Расходы!$B$10:$O$82,COLUMN(Расходы!E:E)-1,FALSE)</f>
        <v>0</v>
      </c>
      <c r="F49" s="1054">
        <f>VLOOKUP($B49,Расходы!$B$10:$O$82,COLUMN(Расходы!F:F)-1,FALSE)</f>
        <v>0</v>
      </c>
      <c r="G49" s="1054">
        <f>VLOOKUP($B49,Расходы!$B$10:$O$82,COLUMN(Расходы!G:G)-1,FALSE)</f>
        <v>33340</v>
      </c>
      <c r="H49" s="1054">
        <f>VLOOKUP($B49,Расходы!$B$10:$O$82,COLUMN(Расходы!H:H)-1,FALSE)</f>
        <v>45945.833333333336</v>
      </c>
      <c r="I49" s="1054">
        <f>VLOOKUP($B49,Расходы!$B$10:$O$82,COLUMN(Расходы!I:I)-1,FALSE)</f>
        <v>50540.41666666667</v>
      </c>
      <c r="J49" s="1054">
        <f>VLOOKUP($B49,Расходы!$B$10:$O$82,COLUMN(Расходы!J:J)-1,FALSE)</f>
        <v>55594.45833333333</v>
      </c>
      <c r="K49" s="955">
        <f>VLOOKUP($B49,Расходы!$B$10:$O$82,COLUMN(Расходы!K:K)-1,FALSE)</f>
        <v>61153.904166666674</v>
      </c>
      <c r="L49" s="955">
        <f>VLOOKUP($B49,Расходы!$B$10:$O$82,COLUMN(Расходы!L:L)-1,FALSE)</f>
        <v>0</v>
      </c>
      <c r="M49" s="955">
        <f>VLOOKUP($B49,Расходы!$B$10:$O$82,COLUMN(Расходы!M:M)-1,FALSE)</f>
        <v>0</v>
      </c>
      <c r="N49" s="955">
        <f>VLOOKUP($B49,Расходы!$B$10:$O$82,COLUMN(Расходы!N:N)-1,FALSE)</f>
        <v>0</v>
      </c>
      <c r="O49" s="956">
        <f>VLOOKUP($B49,Расходы!$B$10:$O$82,COLUMN(Расходы!O:O)-1,FALSE)</f>
        <v>0</v>
      </c>
    </row>
    <row r="50" spans="1:15" s="1" customFormat="1" ht="12.75" hidden="1" outlineLevel="1">
      <c r="A50" s="751"/>
      <c r="B50" s="479" t="s">
        <v>7</v>
      </c>
      <c r="C50" s="473" t="str">
        <f>VLOOKUP(B50,Справочники!$B:$F,3,FALSE)</f>
        <v>Сдельная оплата труда</v>
      </c>
      <c r="D50" s="1054">
        <f>VLOOKUP($B50,Расходы!$B$10:$O$82,COLUMN(Расходы!D:D)-1,FALSE)</f>
        <v>0</v>
      </c>
      <c r="E50" s="1054">
        <f>VLOOKUP($B50,Расходы!$B$10:$O$82,COLUMN(Расходы!E:E)-1,FALSE)</f>
        <v>0</v>
      </c>
      <c r="F50" s="1054">
        <f>VLOOKUP($B50,Расходы!$B$10:$O$82,COLUMN(Расходы!F:F)-1,FALSE)</f>
        <v>0</v>
      </c>
      <c r="G50" s="1054">
        <f>VLOOKUP($B50,Расходы!$B$10:$O$82,COLUMN(Расходы!G:G)-1,FALSE)</f>
        <v>0</v>
      </c>
      <c r="H50" s="1054">
        <f>VLOOKUP($B50,Расходы!$B$10:$O$82,COLUMN(Расходы!H:H)-1,FALSE)</f>
        <v>0</v>
      </c>
      <c r="I50" s="1054">
        <f>VLOOKUP($B50,Расходы!$B$10:$O$82,COLUMN(Расходы!I:I)-1,FALSE)</f>
        <v>0</v>
      </c>
      <c r="J50" s="1054">
        <f>VLOOKUP($B50,Расходы!$B$10:$O$82,COLUMN(Расходы!J:J)-1,FALSE)</f>
        <v>0</v>
      </c>
      <c r="K50" s="955">
        <f>VLOOKUP($B50,Расходы!$B$10:$O$82,COLUMN(Расходы!K:K)-1,FALSE)</f>
        <v>0</v>
      </c>
      <c r="L50" s="955">
        <f>VLOOKUP($B50,Расходы!$B$10:$O$82,COLUMN(Расходы!L:L)-1,FALSE)</f>
        <v>0</v>
      </c>
      <c r="M50" s="955">
        <f>VLOOKUP($B50,Расходы!$B$10:$O$82,COLUMN(Расходы!M:M)-1,FALSE)</f>
        <v>0</v>
      </c>
      <c r="N50" s="955">
        <f>VLOOKUP($B50,Расходы!$B$10:$O$82,COLUMN(Расходы!N:N)-1,FALSE)</f>
        <v>0</v>
      </c>
      <c r="O50" s="956">
        <f>VLOOKUP($B50,Расходы!$B$10:$O$82,COLUMN(Расходы!O:O)-1,FALSE)</f>
        <v>0</v>
      </c>
    </row>
    <row r="51" spans="1:15" s="1" customFormat="1" ht="12.75" collapsed="1">
      <c r="A51" s="751"/>
      <c r="B51" s="478" t="s">
        <v>312</v>
      </c>
      <c r="C51" s="472" t="str">
        <f>VLOOKUP(B51,Справочники!$B:$F,3,FALSE)</f>
        <v>Единый социальный налог</v>
      </c>
      <c r="D51" s="1053">
        <f>VLOOKUP($B51,Расходы!$B$10:$O$82,COLUMN(Расходы!D:D)-1,FALSE)</f>
        <v>26005.2</v>
      </c>
      <c r="E51" s="1053">
        <f>VLOOKUP($B51,Расходы!$B$10:$O$82,COLUMN(Расходы!E:E)-1,FALSE)</f>
        <v>25205.04</v>
      </c>
      <c r="F51" s="1053">
        <f>VLOOKUP($B51,Расходы!$B$10:$O$82,COLUMN(Расходы!F:F)-1,FALSE)</f>
        <v>10967.233333333334</v>
      </c>
      <c r="G51" s="1053">
        <f>VLOOKUP($B51,Расходы!$B$10:$O$82,COLUMN(Расходы!G:G)-1,FALSE)</f>
        <v>10967.233333333334</v>
      </c>
      <c r="H51" s="1053">
        <f>VLOOKUP($B51,Расходы!$B$10:$O$82,COLUMN(Расходы!H:H)-1,FALSE)</f>
        <v>53843.58333333333</v>
      </c>
      <c r="I51" s="1053">
        <f>VLOOKUP($B51,Расходы!$B$10:$O$82,COLUMN(Расходы!I:I)-1,FALSE)</f>
        <v>59081.40833333333</v>
      </c>
      <c r="J51" s="1053">
        <f>VLOOKUP($B51,Расходы!$B$10:$O$82,COLUMN(Расходы!J:J)-1,FALSE)</f>
        <v>64843.01583333334</v>
      </c>
      <c r="K51" s="671">
        <f>VLOOKUP($B51,Расходы!$B$10:$O$82,COLUMN(Расходы!K:K)-1,FALSE)</f>
        <v>71180.78408333333</v>
      </c>
      <c r="L51" s="671">
        <f>VLOOKUP($B51,Расходы!$B$10:$O$82,COLUMN(Расходы!L:L)-1,FALSE)</f>
        <v>71180.78408333333</v>
      </c>
      <c r="M51" s="671">
        <f>VLOOKUP($B51,Расходы!$B$10:$O$82,COLUMN(Расходы!M:M)-1,FALSE)</f>
        <v>71180.78408333333</v>
      </c>
      <c r="N51" s="671">
        <f>VLOOKUP($B51,Расходы!$B$10:$O$82,COLUMN(Расходы!N:N)-1,FALSE)</f>
        <v>71180.78408333333</v>
      </c>
      <c r="O51" s="877">
        <f>VLOOKUP($B51,Расходы!$B$10:$O$82,COLUMN(Расходы!O:O)-1,FALSE)</f>
        <v>71180.78408333333</v>
      </c>
    </row>
    <row r="52" spans="1:15" s="1" customFormat="1" ht="12.75" hidden="1" outlineLevel="1">
      <c r="A52" s="751"/>
      <c r="B52" s="479" t="s">
        <v>313</v>
      </c>
      <c r="C52" s="473" t="str">
        <f>VLOOKUP(B52,Справочники!$B:$F,3,FALSE)</f>
        <v>Пенсионный фонд</v>
      </c>
      <c r="D52" s="1054">
        <f>VLOOKUP($B52,Расходы!$B$10:$O$82,COLUMN(Расходы!D:D)-1,FALSE)</f>
        <v>20004</v>
      </c>
      <c r="E52" s="1054">
        <f>VLOOKUP($B52,Расходы!$B$10:$O$82,COLUMN(Расходы!E:E)-1,FALSE)</f>
        <v>20004</v>
      </c>
      <c r="F52" s="1054">
        <f>VLOOKUP($B52,Расходы!$B$10:$O$82,COLUMN(Расходы!F:F)-1,FALSE)</f>
        <v>9030.913333333334</v>
      </c>
      <c r="G52" s="1054">
        <f>VLOOKUP($B52,Расходы!$B$10:$O$82,COLUMN(Расходы!G:G)-1,FALSE)</f>
        <v>9030.913333333334</v>
      </c>
      <c r="H52" s="1054">
        <f>VLOOKUP($B52,Расходы!$B$10:$O$82,COLUMN(Расходы!H:H)-1,FALSE)</f>
        <v>44685.98333333333</v>
      </c>
      <c r="I52" s="1054">
        <f>VLOOKUP($B52,Расходы!$B$10:$O$82,COLUMN(Расходы!I:I)-1,FALSE)</f>
        <v>49041.64833333333</v>
      </c>
      <c r="J52" s="1054">
        <f>VLOOKUP($B52,Расходы!$B$10:$O$82,COLUMN(Расходы!J:J)-1,FALSE)</f>
        <v>53832.87983333333</v>
      </c>
      <c r="K52" s="955">
        <f>VLOOKUP($B52,Расходы!$B$10:$O$82,COLUMN(Расходы!K:K)-1,FALSE)</f>
        <v>59103.23448333333</v>
      </c>
      <c r="L52" s="955">
        <f>VLOOKUP($B52,Расходы!$B$10:$O$82,COLUMN(Расходы!L:L)-1,FALSE)</f>
        <v>59103.23448333333</v>
      </c>
      <c r="M52" s="955">
        <f>VLOOKUP($B52,Расходы!$B$10:$O$82,COLUMN(Расходы!M:M)-1,FALSE)</f>
        <v>59103.23448333333</v>
      </c>
      <c r="N52" s="955">
        <f>VLOOKUP($B52,Расходы!$B$10:$O$82,COLUMN(Расходы!N:N)-1,FALSE)</f>
        <v>59103.23448333333</v>
      </c>
      <c r="O52" s="956">
        <f>VLOOKUP($B52,Расходы!$B$10:$O$82,COLUMN(Расходы!O:O)-1,FALSE)</f>
        <v>59103.23448333333</v>
      </c>
    </row>
    <row r="53" spans="1:15" s="1" customFormat="1" ht="12.75" hidden="1" outlineLevel="1">
      <c r="A53" s="751"/>
      <c r="B53" s="479" t="s">
        <v>314</v>
      </c>
      <c r="C53" s="473" t="str">
        <f>VLOOKUP(B53,Справочники!$B:$F,3,FALSE)</f>
        <v>Фонд социального страхования</v>
      </c>
      <c r="D53" s="1054">
        <f>VLOOKUP($B53,Расходы!$B$10:$O$82,COLUMN(Расходы!D:D)-1,FALSE)</f>
        <v>3200.64</v>
      </c>
      <c r="E53" s="1054">
        <f>VLOOKUP($B53,Расходы!$B$10:$O$82,COLUMN(Расходы!E:E)-1,FALSE)</f>
        <v>3200.64</v>
      </c>
      <c r="F53" s="1054">
        <f>VLOOKUP($B53,Расходы!$B$10:$O$82,COLUMN(Расходы!F:F)-1,FALSE)</f>
        <v>1296.22</v>
      </c>
      <c r="G53" s="1054">
        <f>VLOOKUP($B53,Расходы!$B$10:$O$82,COLUMN(Расходы!G:G)-1,FALSE)</f>
        <v>1296.22</v>
      </c>
      <c r="H53" s="1054">
        <f>VLOOKUP($B53,Расходы!$B$10:$O$82,COLUMN(Расходы!H:H)-1,FALSE)</f>
        <v>6260.85</v>
      </c>
      <c r="I53" s="1054">
        <f>VLOOKUP($B53,Расходы!$B$10:$O$82,COLUMN(Расходы!I:I)-1,FALSE)</f>
        <v>6867.335</v>
      </c>
      <c r="J53" s="1054">
        <f>VLOOKUP($B53,Расходы!$B$10:$O$82,COLUMN(Расходы!J:J)-1,FALSE)</f>
        <v>7534.4685</v>
      </c>
      <c r="K53" s="955">
        <f>VLOOKUP($B53,Расходы!$B$10:$O$82,COLUMN(Расходы!K:K)-1,FALSE)</f>
        <v>8268.315349999999</v>
      </c>
      <c r="L53" s="955">
        <f>VLOOKUP($B53,Расходы!$B$10:$O$82,COLUMN(Расходы!L:L)-1,FALSE)</f>
        <v>8268.315349999999</v>
      </c>
      <c r="M53" s="955">
        <f>VLOOKUP($B53,Расходы!$B$10:$O$82,COLUMN(Расходы!M:M)-1,FALSE)</f>
        <v>8268.315349999999</v>
      </c>
      <c r="N53" s="955">
        <f>VLOOKUP($B53,Расходы!$B$10:$O$82,COLUMN(Расходы!N:N)-1,FALSE)</f>
        <v>8268.315349999999</v>
      </c>
      <c r="O53" s="956">
        <f>VLOOKUP($B53,Расходы!$B$10:$O$82,COLUMN(Расходы!O:O)-1,FALSE)</f>
        <v>8268.315349999999</v>
      </c>
    </row>
    <row r="54" spans="1:15" s="1" customFormat="1" ht="12.75" hidden="1" outlineLevel="1">
      <c r="A54" s="751"/>
      <c r="B54" s="479" t="s">
        <v>315</v>
      </c>
      <c r="C54" s="473" t="str">
        <f>VLOOKUP(B54,Справочники!$B:$F,3,FALSE)</f>
        <v>Фед. фонд обязат. мед. страхования</v>
      </c>
      <c r="D54" s="1054">
        <f>VLOOKUP($B54,Расходы!$B$10:$O$82,COLUMN(Расходы!D:D)-1,FALSE)</f>
        <v>800.16</v>
      </c>
      <c r="E54" s="1054">
        <f>VLOOKUP($B54,Расходы!$B$10:$O$82,COLUMN(Расходы!E:E)-1,FALSE)</f>
        <v>0</v>
      </c>
      <c r="F54" s="1054">
        <f>VLOOKUP($B54,Расходы!$B$10:$O$82,COLUMN(Расходы!F:F)-1,FALSE)</f>
        <v>0</v>
      </c>
      <c r="G54" s="1054">
        <f>VLOOKUP($B54,Расходы!$B$10:$O$82,COLUMN(Расходы!G:G)-1,FALSE)</f>
        <v>0</v>
      </c>
      <c r="H54" s="1054">
        <f>VLOOKUP($B54,Расходы!$B$10:$O$82,COLUMN(Расходы!H:H)-1,FALSE)</f>
        <v>0</v>
      </c>
      <c r="I54" s="1054">
        <f>VLOOKUP($B54,Расходы!$B$10:$O$82,COLUMN(Расходы!I:I)-1,FALSE)</f>
        <v>0</v>
      </c>
      <c r="J54" s="1054">
        <f>VLOOKUP($B54,Расходы!$B$10:$O$82,COLUMN(Расходы!J:J)-1,FALSE)</f>
        <v>0</v>
      </c>
      <c r="K54" s="955">
        <f>VLOOKUP($B54,Расходы!$B$10:$O$82,COLUMN(Расходы!K:K)-1,FALSE)</f>
        <v>0</v>
      </c>
      <c r="L54" s="955">
        <f>VLOOKUP($B54,Расходы!$B$10:$O$82,COLUMN(Расходы!L:L)-1,FALSE)</f>
        <v>0</v>
      </c>
      <c r="M54" s="955">
        <f>VLOOKUP($B54,Расходы!$B$10:$O$82,COLUMN(Расходы!M:M)-1,FALSE)</f>
        <v>0</v>
      </c>
      <c r="N54" s="955">
        <f>VLOOKUP($B54,Расходы!$B$10:$O$82,COLUMN(Расходы!N:N)-1,FALSE)</f>
        <v>0</v>
      </c>
      <c r="O54" s="956">
        <f>VLOOKUP($B54,Расходы!$B$10:$O$82,COLUMN(Расходы!O:O)-1,FALSE)</f>
        <v>0</v>
      </c>
    </row>
    <row r="55" spans="1:15" s="1" customFormat="1" ht="12.75" hidden="1" outlineLevel="1">
      <c r="A55" s="751"/>
      <c r="B55" s="479" t="s">
        <v>316</v>
      </c>
      <c r="C55" s="473" t="str">
        <f>VLOOKUP(B55,Справочники!$B:$F,3,FALSE)</f>
        <v>Терр. фонд обязат. мед. страхования</v>
      </c>
      <c r="D55" s="1054">
        <f>VLOOKUP($B55,Расходы!$B$10:$O$82,COLUMN(Расходы!D:D)-1,FALSE)</f>
        <v>2000.4</v>
      </c>
      <c r="E55" s="1054">
        <f>VLOOKUP($B55,Расходы!$B$10:$O$82,COLUMN(Расходы!E:E)-1,FALSE)</f>
        <v>2000.4</v>
      </c>
      <c r="F55" s="1054">
        <f>VLOOKUP($B55,Расходы!$B$10:$O$82,COLUMN(Расходы!F:F)-1,FALSE)</f>
        <v>640.1</v>
      </c>
      <c r="G55" s="1054">
        <f>VLOOKUP($B55,Расходы!$B$10:$O$82,COLUMN(Расходы!G:G)-1,FALSE)</f>
        <v>640.1</v>
      </c>
      <c r="H55" s="1054">
        <f>VLOOKUP($B55,Расходы!$B$10:$O$82,COLUMN(Расходы!H:H)-1,FALSE)</f>
        <v>2896.75</v>
      </c>
      <c r="I55" s="1054">
        <f>VLOOKUP($B55,Расходы!$B$10:$O$82,COLUMN(Расходы!I:I)-1,FALSE)</f>
        <v>3172.425</v>
      </c>
      <c r="J55" s="1054">
        <f>VLOOKUP($B55,Расходы!$B$10:$O$82,COLUMN(Расходы!J:J)-1,FALSE)</f>
        <v>3475.6675000000005</v>
      </c>
      <c r="K55" s="955">
        <f>VLOOKUP($B55,Расходы!$B$10:$O$82,COLUMN(Расходы!K:K)-1,FALSE)</f>
        <v>3809.23425</v>
      </c>
      <c r="L55" s="955">
        <f>VLOOKUP($B55,Расходы!$B$10:$O$82,COLUMN(Расходы!L:L)-1,FALSE)</f>
        <v>3809.23425</v>
      </c>
      <c r="M55" s="955">
        <f>VLOOKUP($B55,Расходы!$B$10:$O$82,COLUMN(Расходы!M:M)-1,FALSE)</f>
        <v>3809.23425</v>
      </c>
      <c r="N55" s="955">
        <f>VLOOKUP($B55,Расходы!$B$10:$O$82,COLUMN(Расходы!N:N)-1,FALSE)</f>
        <v>3809.23425</v>
      </c>
      <c r="O55" s="956">
        <f>VLOOKUP($B55,Расходы!$B$10:$O$82,COLUMN(Расходы!O:O)-1,FALSE)</f>
        <v>3809.23425</v>
      </c>
    </row>
    <row r="56" spans="1:15" s="1" customFormat="1" ht="12.75" collapsed="1">
      <c r="A56" s="751"/>
      <c r="B56" s="478" t="s">
        <v>317</v>
      </c>
      <c r="C56" s="472" t="str">
        <f>VLOOKUP(B56,Справочники!$B:$F,3,FALSE)</f>
        <v>Услуги сторонних организаций</v>
      </c>
      <c r="D56" s="1053">
        <f>VLOOKUP($B56,Расходы!$B$10:$O$82,COLUMN(Расходы!D:D)-1,FALSE)</f>
        <v>70988</v>
      </c>
      <c r="E56" s="1053">
        <f>VLOOKUP($B56,Расходы!$B$10:$O$82,COLUMN(Расходы!E:E)-1,FALSE)</f>
        <v>60188</v>
      </c>
      <c r="F56" s="1053">
        <f>VLOOKUP($B56,Расходы!$B$10:$O$82,COLUMN(Расходы!F:F)-1,FALSE)</f>
        <v>90188</v>
      </c>
      <c r="G56" s="1053">
        <f>VLOOKUP($B56,Расходы!$B$10:$O$82,COLUMN(Расходы!G:G)-1,FALSE)</f>
        <v>90188</v>
      </c>
      <c r="H56" s="1053">
        <f>VLOOKUP($B56,Расходы!$B$10:$O$82,COLUMN(Расходы!H:H)-1,FALSE)</f>
        <v>561509.1355932204</v>
      </c>
      <c r="I56" s="1053">
        <f>VLOOKUP($B56,Расходы!$B$10:$O$82,COLUMN(Расходы!I:I)-1,FALSE)</f>
        <v>642358.3898305085</v>
      </c>
      <c r="J56" s="1053">
        <f>VLOOKUP($B56,Расходы!$B$10:$O$82,COLUMN(Расходы!J:J)-1,FALSE)</f>
        <v>752395.0211864407</v>
      </c>
      <c r="K56" s="671">
        <f>VLOOKUP($B56,Расходы!$B$10:$O$82,COLUMN(Расходы!K:K)-1,FALSE)</f>
        <v>448515.2468220339</v>
      </c>
      <c r="L56" s="671">
        <f>VLOOKUP($B56,Расходы!$B$10:$O$82,COLUMN(Расходы!L:L)-1,FALSE)</f>
        <v>82440.6779661017</v>
      </c>
      <c r="M56" s="671">
        <f>VLOOKUP($B56,Расходы!$B$10:$O$82,COLUMN(Расходы!M:M)-1,FALSE)</f>
        <v>0</v>
      </c>
      <c r="N56" s="671">
        <f>VLOOKUP($B56,Расходы!$B$10:$O$82,COLUMN(Расходы!N:N)-1,FALSE)</f>
        <v>0</v>
      </c>
      <c r="O56" s="877">
        <f>VLOOKUP($B56,Расходы!$B$10:$O$82,COLUMN(Расходы!O:O)-1,FALSE)</f>
        <v>0</v>
      </c>
    </row>
    <row r="57" spans="1:15" s="1" customFormat="1" ht="12.75" hidden="1" outlineLevel="1">
      <c r="A57" s="751"/>
      <c r="B57" s="479" t="s">
        <v>318</v>
      </c>
      <c r="C57" s="471" t="str">
        <f>VLOOKUP(B57,Справочники!$B:$F,3,FALSE)</f>
        <v>Аренда зданий и помещений</v>
      </c>
      <c r="D57" s="1054">
        <f>VLOOKUP($B57,Расходы!$B$10:$O$82,COLUMN(Расходы!D:D)-1,FALSE)</f>
        <v>29993</v>
      </c>
      <c r="E57" s="1054">
        <f>VLOOKUP($B57,Расходы!$B$10:$O$82,COLUMN(Расходы!E:E)-1,FALSE)</f>
        <v>29993</v>
      </c>
      <c r="F57" s="1054">
        <f>VLOOKUP($B57,Расходы!$B$10:$O$82,COLUMN(Расходы!F:F)-1,FALSE)</f>
        <v>29993</v>
      </c>
      <c r="G57" s="1054">
        <f>VLOOKUP($B57,Расходы!$B$10:$O$82,COLUMN(Расходы!G:G)-1,FALSE)</f>
        <v>29993</v>
      </c>
      <c r="H57" s="1054">
        <f>VLOOKUP($B57,Расходы!$B$10:$O$82,COLUMN(Расходы!H:H)-1,FALSE)</f>
        <v>208521</v>
      </c>
      <c r="I57" s="1054">
        <f>VLOOKUP($B57,Расходы!$B$10:$O$82,COLUMN(Расходы!I:I)-1,FALSE)</f>
        <v>229220</v>
      </c>
      <c r="J57" s="1054">
        <f>VLOOKUP($B57,Расходы!$B$10:$O$82,COLUMN(Расходы!J:J)-1,FALSE)</f>
        <v>238284</v>
      </c>
      <c r="K57" s="955">
        <f>VLOOKUP($B57,Расходы!$B$10:$O$82,COLUMN(Расходы!K:K)-1,FALSE)</f>
        <v>255183.4</v>
      </c>
      <c r="L57" s="955">
        <f>VLOOKUP($B57,Расходы!$B$10:$O$82,COLUMN(Расходы!L:L)-1,FALSE)</f>
        <v>0</v>
      </c>
      <c r="M57" s="955">
        <f>VLOOKUP($B57,Расходы!$B$10:$O$82,COLUMN(Расходы!M:M)-1,FALSE)</f>
        <v>0</v>
      </c>
      <c r="N57" s="955">
        <f>VLOOKUP($B57,Расходы!$B$10:$O$82,COLUMN(Расходы!N:N)-1,FALSE)</f>
        <v>0</v>
      </c>
      <c r="O57" s="956">
        <f>VLOOKUP($B57,Расходы!$B$10:$O$82,COLUMN(Расходы!O:O)-1,FALSE)</f>
        <v>0</v>
      </c>
    </row>
    <row r="58" spans="1:15" s="1" customFormat="1" ht="12.75" hidden="1" outlineLevel="1">
      <c r="A58" s="751"/>
      <c r="B58" s="479" t="s">
        <v>319</v>
      </c>
      <c r="C58" s="471" t="str">
        <f>VLOOKUP(B58,Справочники!$B:$F,3,FALSE)</f>
        <v>Услуги по ремонту транспортных средств</v>
      </c>
      <c r="D58" s="1054">
        <f>VLOOKUP($B58,Расходы!$B$10:$O$82,COLUMN(Расходы!D:D)-1,FALSE)</f>
        <v>0</v>
      </c>
      <c r="E58" s="1054">
        <f>VLOOKUP($B58,Расходы!$B$10:$O$82,COLUMN(Расходы!E:E)-1,FALSE)</f>
        <v>0</v>
      </c>
      <c r="F58" s="1054">
        <f>VLOOKUP($B58,Расходы!$B$10:$O$82,COLUMN(Расходы!F:F)-1,FALSE)</f>
        <v>0</v>
      </c>
      <c r="G58" s="1054">
        <f>VLOOKUP($B58,Расходы!$B$10:$O$82,COLUMN(Расходы!G:G)-1,FALSE)</f>
        <v>0</v>
      </c>
      <c r="H58" s="1054">
        <f>VLOOKUP($B58,Расходы!$B$10:$O$82,COLUMN(Расходы!H:H)-1,FALSE)</f>
        <v>0</v>
      </c>
      <c r="I58" s="1054">
        <f>VLOOKUP($B58,Расходы!$B$10:$O$82,COLUMN(Расходы!I:I)-1,FALSE)</f>
        <v>0</v>
      </c>
      <c r="J58" s="1054">
        <f>VLOOKUP($B58,Расходы!$B$10:$O$82,COLUMN(Расходы!J:J)-1,FALSE)</f>
        <v>0</v>
      </c>
      <c r="K58" s="955">
        <f>VLOOKUP($B58,Расходы!$B$10:$O$82,COLUMN(Расходы!K:K)-1,FALSE)</f>
        <v>0</v>
      </c>
      <c r="L58" s="955">
        <f>VLOOKUP($B58,Расходы!$B$10:$O$82,COLUMN(Расходы!L:L)-1,FALSE)</f>
        <v>0</v>
      </c>
      <c r="M58" s="955">
        <f>VLOOKUP($B58,Расходы!$B$10:$O$82,COLUMN(Расходы!M:M)-1,FALSE)</f>
        <v>0</v>
      </c>
      <c r="N58" s="955">
        <f>VLOOKUP($B58,Расходы!$B$10:$O$82,COLUMN(Расходы!N:N)-1,FALSE)</f>
        <v>0</v>
      </c>
      <c r="O58" s="956">
        <f>VLOOKUP($B58,Расходы!$B$10:$O$82,COLUMN(Расходы!O:O)-1,FALSE)</f>
        <v>0</v>
      </c>
    </row>
    <row r="59" spans="1:15" s="1" customFormat="1" ht="12.75" hidden="1" outlineLevel="1">
      <c r="A59" s="751"/>
      <c r="B59" s="479" t="s">
        <v>558</v>
      </c>
      <c r="C59" s="471" t="str">
        <f>VLOOKUP(B59,Справочники!$B:$F,3,FALSE)</f>
        <v>Услуги по ремонту зданий и сооружений</v>
      </c>
      <c r="D59" s="1054">
        <f>VLOOKUP($B59,Расходы!$B$10:$O$82,COLUMN(Расходы!D:D)-1,FALSE)</f>
        <v>10800</v>
      </c>
      <c r="E59" s="1054">
        <f>VLOOKUP($B59,Расходы!$B$10:$O$82,COLUMN(Расходы!E:E)-1,FALSE)</f>
        <v>0</v>
      </c>
      <c r="F59" s="1054">
        <f>VLOOKUP($B59,Расходы!$B$10:$O$82,COLUMN(Расходы!F:F)-1,FALSE)</f>
        <v>0</v>
      </c>
      <c r="G59" s="1054">
        <f>VLOOKUP($B59,Расходы!$B$10:$O$82,COLUMN(Расходы!G:G)-1,FALSE)</f>
        <v>0</v>
      </c>
      <c r="H59" s="1054">
        <f>VLOOKUP($B59,Расходы!$B$10:$O$82,COLUMN(Расходы!H:H)-1,FALSE)</f>
        <v>15000</v>
      </c>
      <c r="I59" s="1054">
        <f>VLOOKUP($B59,Расходы!$B$10:$O$82,COLUMN(Расходы!I:I)-1,FALSE)</f>
        <v>0</v>
      </c>
      <c r="J59" s="1054">
        <f>VLOOKUP($B59,Расходы!$B$10:$O$82,COLUMN(Расходы!J:J)-1,FALSE)</f>
        <v>0</v>
      </c>
      <c r="K59" s="955">
        <f>VLOOKUP($B59,Расходы!$B$10:$O$82,COLUMN(Расходы!K:K)-1,FALSE)</f>
        <v>0</v>
      </c>
      <c r="L59" s="955">
        <f>VLOOKUP($B59,Расходы!$B$10:$O$82,COLUMN(Расходы!L:L)-1,FALSE)</f>
        <v>0</v>
      </c>
      <c r="M59" s="955">
        <f>VLOOKUP($B59,Расходы!$B$10:$O$82,COLUMN(Расходы!M:M)-1,FALSE)</f>
        <v>0</v>
      </c>
      <c r="N59" s="955">
        <f>VLOOKUP($B59,Расходы!$B$10:$O$82,COLUMN(Расходы!N:N)-1,FALSE)</f>
        <v>0</v>
      </c>
      <c r="O59" s="956">
        <f>VLOOKUP($B59,Расходы!$B$10:$O$82,COLUMN(Расходы!O:O)-1,FALSE)</f>
        <v>0</v>
      </c>
    </row>
    <row r="60" spans="1:15" s="1" customFormat="1" ht="12.75" hidden="1" outlineLevel="1">
      <c r="A60" s="751"/>
      <c r="B60" s="479" t="s">
        <v>559</v>
      </c>
      <c r="C60" s="471" t="str">
        <f>VLOOKUP(B60,Справочники!$B:$F,3,FALSE)</f>
        <v>Услуги по охране  </v>
      </c>
      <c r="D60" s="1054">
        <f>VLOOKUP($B60,Расходы!$B$10:$O$82,COLUMN(Расходы!D:D)-1,FALSE)</f>
        <v>0</v>
      </c>
      <c r="E60" s="1054">
        <f>VLOOKUP($B60,Расходы!$B$10:$O$82,COLUMN(Расходы!E:E)-1,FALSE)</f>
        <v>0</v>
      </c>
      <c r="F60" s="1054">
        <f>VLOOKUP($B60,Расходы!$B$10:$O$82,COLUMN(Расходы!F:F)-1,FALSE)</f>
        <v>0</v>
      </c>
      <c r="G60" s="1054">
        <f>VLOOKUP($B60,Расходы!$B$10:$O$82,COLUMN(Расходы!G:G)-1,FALSE)</f>
        <v>0</v>
      </c>
      <c r="H60" s="1054">
        <f>VLOOKUP($B60,Расходы!$B$10:$O$82,COLUMN(Расходы!H:H)-1,FALSE)</f>
        <v>0</v>
      </c>
      <c r="I60" s="1054">
        <f>VLOOKUP($B60,Расходы!$B$10:$O$82,COLUMN(Расходы!I:I)-1,FALSE)</f>
        <v>0</v>
      </c>
      <c r="J60" s="1054">
        <f>VLOOKUP($B60,Расходы!$B$10:$O$82,COLUMN(Расходы!J:J)-1,FALSE)</f>
        <v>0</v>
      </c>
      <c r="K60" s="955">
        <f>VLOOKUP($B60,Расходы!$B$10:$O$82,COLUMN(Расходы!K:K)-1,FALSE)</f>
        <v>0</v>
      </c>
      <c r="L60" s="955">
        <f>VLOOKUP($B60,Расходы!$B$10:$O$82,COLUMN(Расходы!L:L)-1,FALSE)</f>
        <v>0</v>
      </c>
      <c r="M60" s="955">
        <f>VLOOKUP($B60,Расходы!$B$10:$O$82,COLUMN(Расходы!M:M)-1,FALSE)</f>
        <v>0</v>
      </c>
      <c r="N60" s="955">
        <f>VLOOKUP($B60,Расходы!$B$10:$O$82,COLUMN(Расходы!N:N)-1,FALSE)</f>
        <v>0</v>
      </c>
      <c r="O60" s="956">
        <f>VLOOKUP($B60,Расходы!$B$10:$O$82,COLUMN(Расходы!O:O)-1,FALSE)</f>
        <v>0</v>
      </c>
    </row>
    <row r="61" spans="1:15" s="1" customFormat="1" ht="12.75" hidden="1" outlineLevel="1">
      <c r="A61" s="751"/>
      <c r="B61" s="479" t="s">
        <v>560</v>
      </c>
      <c r="C61" s="471" t="str">
        <f>VLOOKUP(B61,Справочники!$B:$F,3,FALSE)</f>
        <v>Услуги по ремонту и обслуж. компьютерной и офисной техники</v>
      </c>
      <c r="D61" s="1054">
        <f>VLOOKUP($B61,Расходы!$B$10:$O$82,COLUMN(Расходы!D:D)-1,FALSE)</f>
        <v>0</v>
      </c>
      <c r="E61" s="1054">
        <f>VLOOKUP($B61,Расходы!$B$10:$O$82,COLUMN(Расходы!E:E)-1,FALSE)</f>
        <v>0</v>
      </c>
      <c r="F61" s="1054">
        <f>VLOOKUP($B61,Расходы!$B$10:$O$82,COLUMN(Расходы!F:F)-1,FALSE)</f>
        <v>0</v>
      </c>
      <c r="G61" s="1054">
        <f>VLOOKUP($B61,Расходы!$B$10:$O$82,COLUMN(Расходы!G:G)-1,FALSE)</f>
        <v>0</v>
      </c>
      <c r="H61" s="1054">
        <f>VLOOKUP($B61,Расходы!$B$10:$O$82,COLUMN(Расходы!H:H)-1,FALSE)</f>
        <v>0</v>
      </c>
      <c r="I61" s="1054">
        <f>VLOOKUP($B61,Расходы!$B$10:$O$82,COLUMN(Расходы!I:I)-1,FALSE)</f>
        <v>0</v>
      </c>
      <c r="J61" s="1054">
        <f>VLOOKUP($B61,Расходы!$B$10:$O$82,COLUMN(Расходы!J:J)-1,FALSE)</f>
        <v>0</v>
      </c>
      <c r="K61" s="955">
        <f>VLOOKUP($B61,Расходы!$B$10:$O$82,COLUMN(Расходы!K:K)-1,FALSE)</f>
        <v>0</v>
      </c>
      <c r="L61" s="955">
        <f>VLOOKUP($B61,Расходы!$B$10:$O$82,COLUMN(Расходы!L:L)-1,FALSE)</f>
        <v>0</v>
      </c>
      <c r="M61" s="955">
        <f>VLOOKUP($B61,Расходы!$B$10:$O$82,COLUMN(Расходы!M:M)-1,FALSE)</f>
        <v>0</v>
      </c>
      <c r="N61" s="955">
        <f>VLOOKUP($B61,Расходы!$B$10:$O$82,COLUMN(Расходы!N:N)-1,FALSE)</f>
        <v>0</v>
      </c>
      <c r="O61" s="956">
        <f>VLOOKUP($B61,Расходы!$B$10:$O$82,COLUMN(Расходы!O:O)-1,FALSE)</f>
        <v>0</v>
      </c>
    </row>
    <row r="62" spans="1:15" s="1" customFormat="1" ht="12.75" hidden="1" outlineLevel="1">
      <c r="A62" s="751"/>
      <c r="B62" s="479" t="s">
        <v>561</v>
      </c>
      <c r="C62" s="471" t="str">
        <f>VLOOKUP(B62,Справочники!$B:$F,3,FALSE)</f>
        <v>Услуги связи</v>
      </c>
      <c r="D62" s="1054">
        <f>VLOOKUP($B62,Расходы!$B$10:$O$82,COLUMN(Расходы!D:D)-1,FALSE)</f>
        <v>3455</v>
      </c>
      <c r="E62" s="1054">
        <f>VLOOKUP($B62,Расходы!$B$10:$O$82,COLUMN(Расходы!E:E)-1,FALSE)</f>
        <v>3455</v>
      </c>
      <c r="F62" s="1054">
        <f>VLOOKUP($B62,Расходы!$B$10:$O$82,COLUMN(Расходы!F:F)-1,FALSE)</f>
        <v>3455</v>
      </c>
      <c r="G62" s="1054">
        <f>VLOOKUP($B62,Расходы!$B$10:$O$82,COLUMN(Расходы!G:G)-1,FALSE)</f>
        <v>3455</v>
      </c>
      <c r="H62" s="1054">
        <f>VLOOKUP($B62,Расходы!$B$10:$O$82,COLUMN(Расходы!H:H)-1,FALSE)</f>
        <v>30600</v>
      </c>
      <c r="I62" s="1054">
        <f>VLOOKUP($B62,Расходы!$B$10:$O$82,COLUMN(Расходы!I:I)-1,FALSE)</f>
        <v>33160</v>
      </c>
      <c r="J62" s="1054">
        <f>VLOOKUP($B62,Расходы!$B$10:$O$82,COLUMN(Расходы!J:J)-1,FALSE)</f>
        <v>35976</v>
      </c>
      <c r="K62" s="955">
        <f>VLOOKUP($B62,Расходы!$B$10:$O$82,COLUMN(Расходы!K:K)-1,FALSE)</f>
        <v>39073.600000000006</v>
      </c>
      <c r="L62" s="955">
        <f>VLOOKUP($B62,Расходы!$B$10:$O$82,COLUMN(Расходы!L:L)-1,FALSE)</f>
        <v>0</v>
      </c>
      <c r="M62" s="955">
        <f>VLOOKUP($B62,Расходы!$B$10:$O$82,COLUMN(Расходы!M:M)-1,FALSE)</f>
        <v>0</v>
      </c>
      <c r="N62" s="955">
        <f>VLOOKUP($B62,Расходы!$B$10:$O$82,COLUMN(Расходы!N:N)-1,FALSE)</f>
        <v>0</v>
      </c>
      <c r="O62" s="956">
        <f>VLOOKUP($B62,Расходы!$B$10:$O$82,COLUMN(Расходы!O:O)-1,FALSE)</f>
        <v>0</v>
      </c>
    </row>
    <row r="63" spans="1:15" s="1" customFormat="1" ht="12.75" hidden="1" outlineLevel="1">
      <c r="A63" s="751"/>
      <c r="B63" s="479" t="s">
        <v>565</v>
      </c>
      <c r="C63" s="471" t="str">
        <f>VLOOKUP(B63,Справочники!$B:$F,3,FALSE)</f>
        <v>Коммунальные услуги</v>
      </c>
      <c r="D63" s="1054">
        <f>VLOOKUP($B63,Расходы!$B$10:$O$82,COLUMN(Расходы!D:D)-1,FALSE)</f>
        <v>0</v>
      </c>
      <c r="E63" s="1054">
        <f>VLOOKUP($B63,Расходы!$B$10:$O$82,COLUMN(Расходы!E:E)-1,FALSE)</f>
        <v>0</v>
      </c>
      <c r="F63" s="1054">
        <f>VLOOKUP($B63,Расходы!$B$10:$O$82,COLUMN(Расходы!F:F)-1,FALSE)</f>
        <v>0</v>
      </c>
      <c r="G63" s="1054">
        <f>VLOOKUP($B63,Расходы!$B$10:$O$82,COLUMN(Расходы!G:G)-1,FALSE)</f>
        <v>0</v>
      </c>
      <c r="H63" s="1054">
        <f>VLOOKUP($B63,Расходы!$B$10:$O$82,COLUMN(Расходы!H:H)-1,FALSE)</f>
        <v>0</v>
      </c>
      <c r="I63" s="1054">
        <f>VLOOKUP($B63,Расходы!$B$10:$O$82,COLUMN(Расходы!I:I)-1,FALSE)</f>
        <v>0</v>
      </c>
      <c r="J63" s="1054">
        <f>VLOOKUP($B63,Расходы!$B$10:$O$82,COLUMN(Расходы!J:J)-1,FALSE)</f>
        <v>0</v>
      </c>
      <c r="K63" s="955">
        <f>VLOOKUP($B63,Расходы!$B$10:$O$82,COLUMN(Расходы!K:K)-1,FALSE)</f>
        <v>0</v>
      </c>
      <c r="L63" s="955">
        <f>VLOOKUP($B63,Расходы!$B$10:$O$82,COLUMN(Расходы!L:L)-1,FALSE)</f>
        <v>0</v>
      </c>
      <c r="M63" s="955">
        <f>VLOOKUP($B63,Расходы!$B$10:$O$82,COLUMN(Расходы!M:M)-1,FALSE)</f>
        <v>0</v>
      </c>
      <c r="N63" s="955">
        <f>VLOOKUP($B63,Расходы!$B$10:$O$82,COLUMN(Расходы!N:N)-1,FALSE)</f>
        <v>0</v>
      </c>
      <c r="O63" s="956">
        <f>VLOOKUP($B63,Расходы!$B$10:$O$82,COLUMN(Расходы!O:O)-1,FALSE)</f>
        <v>0</v>
      </c>
    </row>
    <row r="64" spans="1:15" s="1" customFormat="1" ht="12.75" hidden="1" outlineLevel="1">
      <c r="A64" s="751"/>
      <c r="B64" s="479" t="s">
        <v>566</v>
      </c>
      <c r="C64" s="471" t="str">
        <f>VLOOKUP(B64,Справочники!$B:$F,3,FALSE)</f>
        <v>Аудиторские услуги</v>
      </c>
      <c r="D64" s="1054">
        <f>VLOOKUP($B64,Расходы!$B$10:$O$82,COLUMN(Расходы!D:D)-1,FALSE)</f>
        <v>1590</v>
      </c>
      <c r="E64" s="1054">
        <f>VLOOKUP($B64,Расходы!$B$10:$O$82,COLUMN(Расходы!E:E)-1,FALSE)</f>
        <v>1590</v>
      </c>
      <c r="F64" s="1054">
        <f>VLOOKUP($B64,Расходы!$B$10:$O$82,COLUMN(Расходы!F:F)-1,FALSE)</f>
        <v>1590</v>
      </c>
      <c r="G64" s="1054">
        <f>VLOOKUP($B64,Расходы!$B$10:$O$82,COLUMN(Расходы!G:G)-1,FALSE)</f>
        <v>1590</v>
      </c>
      <c r="H64" s="1054">
        <f>VLOOKUP($B64,Расходы!$B$10:$O$82,COLUMN(Расходы!H:H)-1,FALSE)</f>
        <v>7000</v>
      </c>
      <c r="I64" s="1054">
        <f>VLOOKUP($B64,Расходы!$B$10:$O$82,COLUMN(Расходы!I:I)-1,FALSE)</f>
        <v>7700</v>
      </c>
      <c r="J64" s="1054">
        <f>VLOOKUP($B64,Расходы!$B$10:$O$82,COLUMN(Расходы!J:J)-1,FALSE)</f>
        <v>8470</v>
      </c>
      <c r="K64" s="955">
        <f>VLOOKUP($B64,Расходы!$B$10:$O$82,COLUMN(Расходы!K:K)-1,FALSE)</f>
        <v>9300</v>
      </c>
      <c r="L64" s="955">
        <f>VLOOKUP($B64,Расходы!$B$10:$O$82,COLUMN(Расходы!L:L)-1,FALSE)</f>
        <v>0</v>
      </c>
      <c r="M64" s="955">
        <f>VLOOKUP($B64,Расходы!$B$10:$O$82,COLUMN(Расходы!M:M)-1,FALSE)</f>
        <v>0</v>
      </c>
      <c r="N64" s="955">
        <f>VLOOKUP($B64,Расходы!$B$10:$O$82,COLUMN(Расходы!N:N)-1,FALSE)</f>
        <v>0</v>
      </c>
      <c r="O64" s="956">
        <f>VLOOKUP($B64,Расходы!$B$10:$O$82,COLUMN(Расходы!O:O)-1,FALSE)</f>
        <v>0</v>
      </c>
    </row>
    <row r="65" spans="1:15" s="1" customFormat="1" ht="12.75" hidden="1" outlineLevel="1">
      <c r="A65" s="751"/>
      <c r="B65" s="479" t="s">
        <v>567</v>
      </c>
      <c r="C65" s="471" t="str">
        <f>VLOOKUP(B65,Справочники!$B:$F,3,FALSE)</f>
        <v>Юридические услуги</v>
      </c>
      <c r="D65" s="1054">
        <f>VLOOKUP($B65,Расходы!$B$10:$O$82,COLUMN(Расходы!D:D)-1,FALSE)</f>
        <v>600</v>
      </c>
      <c r="E65" s="1054">
        <f>VLOOKUP($B65,Расходы!$B$10:$O$82,COLUMN(Расходы!E:E)-1,FALSE)</f>
        <v>600</v>
      </c>
      <c r="F65" s="1054">
        <f>VLOOKUP($B65,Расходы!$B$10:$O$82,COLUMN(Расходы!F:F)-1,FALSE)</f>
        <v>600</v>
      </c>
      <c r="G65" s="1054">
        <f>VLOOKUP($B65,Расходы!$B$10:$O$82,COLUMN(Расходы!G:G)-1,FALSE)</f>
        <v>600</v>
      </c>
      <c r="H65" s="1054">
        <f>VLOOKUP($B65,Расходы!$B$10:$O$82,COLUMN(Расходы!H:H)-1,FALSE)</f>
        <v>3000</v>
      </c>
      <c r="I65" s="1054">
        <f>VLOOKUP($B65,Расходы!$B$10:$O$82,COLUMN(Расходы!I:I)-1,FALSE)</f>
        <v>3300</v>
      </c>
      <c r="J65" s="1054">
        <f>VLOOKUP($B65,Расходы!$B$10:$O$82,COLUMN(Расходы!J:J)-1,FALSE)</f>
        <v>3630</v>
      </c>
      <c r="K65" s="955">
        <f>VLOOKUP($B65,Расходы!$B$10:$O$82,COLUMN(Расходы!K:K)-1,FALSE)</f>
        <v>3993</v>
      </c>
      <c r="L65" s="955">
        <f>VLOOKUP($B65,Расходы!$B$10:$O$82,COLUMN(Расходы!L:L)-1,FALSE)</f>
        <v>0</v>
      </c>
      <c r="M65" s="955">
        <f>VLOOKUP($B65,Расходы!$B$10:$O$82,COLUMN(Расходы!M:M)-1,FALSE)</f>
        <v>0</v>
      </c>
      <c r="N65" s="955">
        <f>VLOOKUP($B65,Расходы!$B$10:$O$82,COLUMN(Расходы!N:N)-1,FALSE)</f>
        <v>0</v>
      </c>
      <c r="O65" s="956">
        <f>VLOOKUP($B65,Расходы!$B$10:$O$82,COLUMN(Расходы!O:O)-1,FALSE)</f>
        <v>0</v>
      </c>
    </row>
    <row r="66" spans="1:15" s="1" customFormat="1" ht="12.75" hidden="1" outlineLevel="1">
      <c r="A66" s="751"/>
      <c r="B66" s="479" t="s">
        <v>568</v>
      </c>
      <c r="C66" s="471" t="str">
        <f>VLOOKUP(B66,Справочники!$B:$F,3,FALSE)</f>
        <v>Услуги пот продвижению и рекламе продукции</v>
      </c>
      <c r="D66" s="1054">
        <f>VLOOKUP($B66,Расходы!$B$10:$O$82,COLUMN(Расходы!D:D)-1,FALSE)</f>
        <v>22500</v>
      </c>
      <c r="E66" s="1054">
        <f>VLOOKUP($B66,Расходы!$B$10:$O$82,COLUMN(Расходы!E:E)-1,FALSE)</f>
        <v>22500</v>
      </c>
      <c r="F66" s="1054">
        <f>VLOOKUP($B66,Расходы!$B$10:$O$82,COLUMN(Расходы!F:F)-1,FALSE)</f>
        <v>52500</v>
      </c>
      <c r="G66" s="1054">
        <f>VLOOKUP($B66,Расходы!$B$10:$O$82,COLUMN(Расходы!G:G)-1,FALSE)</f>
        <v>52500</v>
      </c>
      <c r="H66" s="1054">
        <f>VLOOKUP($B66,Расходы!$B$10:$O$82,COLUMN(Расходы!H:H)-1,FALSE)</f>
        <v>210000</v>
      </c>
      <c r="I66" s="1054">
        <f>VLOOKUP($B66,Расходы!$B$10:$O$82,COLUMN(Расходы!I:I)-1,FALSE)</f>
        <v>250000</v>
      </c>
      <c r="J66" s="1054">
        <f>VLOOKUP($B66,Расходы!$B$10:$O$82,COLUMN(Расходы!J:J)-1,FALSE)</f>
        <v>300000</v>
      </c>
      <c r="K66" s="955">
        <f>VLOOKUP($B66,Расходы!$B$10:$O$82,COLUMN(Расходы!K:K)-1,FALSE)</f>
        <v>0</v>
      </c>
      <c r="L66" s="955">
        <f>VLOOKUP($B66,Расходы!$B$10:$O$82,COLUMN(Расходы!L:L)-1,FALSE)</f>
        <v>0</v>
      </c>
      <c r="M66" s="955">
        <f>VLOOKUP($B66,Расходы!$B$10:$O$82,COLUMN(Расходы!M:M)-1,FALSE)</f>
        <v>0</v>
      </c>
      <c r="N66" s="955">
        <f>VLOOKUP($B66,Расходы!$B$10:$O$82,COLUMN(Расходы!N:N)-1,FALSE)</f>
        <v>0</v>
      </c>
      <c r="O66" s="956">
        <f>VLOOKUP($B66,Расходы!$B$10:$O$82,COLUMN(Расходы!O:O)-1,FALSE)</f>
        <v>0</v>
      </c>
    </row>
    <row r="67" spans="1:15" s="1" customFormat="1" ht="12.75" hidden="1" outlineLevel="1">
      <c r="A67" s="751"/>
      <c r="B67" s="479" t="s">
        <v>569</v>
      </c>
      <c r="C67" s="471" t="str">
        <f>VLOOKUP(B67,Справочники!$B:$F,3,FALSE)</f>
        <v>Консультационные услуги</v>
      </c>
      <c r="D67" s="1054">
        <f>VLOOKUP($B67,Расходы!$B$10:$O$82,COLUMN(Расходы!D:D)-1,FALSE)</f>
        <v>0</v>
      </c>
      <c r="E67" s="1054">
        <f>VLOOKUP($B67,Расходы!$B$10:$O$82,COLUMN(Расходы!E:E)-1,FALSE)</f>
        <v>0</v>
      </c>
      <c r="F67" s="1054">
        <f>VLOOKUP($B67,Расходы!$B$10:$O$82,COLUMN(Расходы!F:F)-1,FALSE)</f>
        <v>0</v>
      </c>
      <c r="G67" s="1054">
        <f>VLOOKUP($B67,Расходы!$B$10:$O$82,COLUMN(Расходы!G:G)-1,FALSE)</f>
        <v>0</v>
      </c>
      <c r="H67" s="1054">
        <f>VLOOKUP($B67,Расходы!$B$10:$O$82,COLUMN(Расходы!H:H)-1,FALSE)</f>
        <v>0</v>
      </c>
      <c r="I67" s="1054">
        <f>VLOOKUP($B67,Расходы!$B$10:$O$82,COLUMN(Расходы!I:I)-1,FALSE)</f>
        <v>0</v>
      </c>
      <c r="J67" s="1054">
        <f>VLOOKUP($B67,Расходы!$B$10:$O$82,COLUMN(Расходы!J:J)-1,FALSE)</f>
        <v>0</v>
      </c>
      <c r="K67" s="955">
        <f>VLOOKUP($B67,Расходы!$B$10:$O$82,COLUMN(Расходы!K:K)-1,FALSE)</f>
        <v>0</v>
      </c>
      <c r="L67" s="955">
        <f>VLOOKUP($B67,Расходы!$B$10:$O$82,COLUMN(Расходы!L:L)-1,FALSE)</f>
        <v>0</v>
      </c>
      <c r="M67" s="955">
        <f>VLOOKUP($B67,Расходы!$B$10:$O$82,COLUMN(Расходы!M:M)-1,FALSE)</f>
        <v>0</v>
      </c>
      <c r="N67" s="955">
        <f>VLOOKUP($B67,Расходы!$B$10:$O$82,COLUMN(Расходы!N:N)-1,FALSE)</f>
        <v>0</v>
      </c>
      <c r="O67" s="956">
        <f>VLOOKUP($B67,Расходы!$B$10:$O$82,COLUMN(Расходы!O:O)-1,FALSE)</f>
        <v>0</v>
      </c>
    </row>
    <row r="68" spans="1:15" s="1" customFormat="1" ht="12.75" hidden="1" outlineLevel="1">
      <c r="A68" s="751"/>
      <c r="B68" s="479" t="s">
        <v>570</v>
      </c>
      <c r="C68" s="471" t="str">
        <f>VLOOKUP(B68,Справочники!$B:$F,3,FALSE)</f>
        <v>Услуги банка</v>
      </c>
      <c r="D68" s="1054">
        <f>VLOOKUP($B68,Расходы!$B$10:$O$82,COLUMN(Расходы!D:D)-1,FALSE)</f>
        <v>400</v>
      </c>
      <c r="E68" s="1054">
        <f>VLOOKUP($B68,Расходы!$B$10:$O$82,COLUMN(Расходы!E:E)-1,FALSE)</f>
        <v>400</v>
      </c>
      <c r="F68" s="1054">
        <f>VLOOKUP($B68,Расходы!$B$10:$O$82,COLUMN(Расходы!F:F)-1,FALSE)</f>
        <v>400</v>
      </c>
      <c r="G68" s="1054">
        <f>VLOOKUP($B68,Расходы!$B$10:$O$82,COLUMN(Расходы!G:G)-1,FALSE)</f>
        <v>400</v>
      </c>
      <c r="H68" s="1054">
        <f>VLOOKUP($B68,Расходы!$B$10:$O$82,COLUMN(Расходы!H:H)-1,FALSE)</f>
        <v>1600</v>
      </c>
      <c r="I68" s="1054">
        <f>VLOOKUP($B68,Расходы!$B$10:$O$82,COLUMN(Расходы!I:I)-1,FALSE)</f>
        <v>1600</v>
      </c>
      <c r="J68" s="1054">
        <f>VLOOKUP($B68,Расходы!$B$10:$O$82,COLUMN(Расходы!J:J)-1,FALSE)</f>
        <v>1600</v>
      </c>
      <c r="K68" s="955">
        <f>VLOOKUP($B68,Расходы!$B$10:$O$82,COLUMN(Расходы!K:K)-1,FALSE)</f>
        <v>1600</v>
      </c>
      <c r="L68" s="955">
        <f>VLOOKUP($B68,Расходы!$B$10:$O$82,COLUMN(Расходы!L:L)-1,FALSE)</f>
        <v>0</v>
      </c>
      <c r="M68" s="955">
        <f>VLOOKUP($B68,Расходы!$B$10:$O$82,COLUMN(Расходы!M:M)-1,FALSE)</f>
        <v>0</v>
      </c>
      <c r="N68" s="955">
        <f>VLOOKUP($B68,Расходы!$B$10:$O$82,COLUMN(Расходы!N:N)-1,FALSE)</f>
        <v>0</v>
      </c>
      <c r="O68" s="956">
        <f>VLOOKUP($B68,Расходы!$B$10:$O$82,COLUMN(Расходы!O:O)-1,FALSE)</f>
        <v>0</v>
      </c>
    </row>
    <row r="69" spans="1:15" s="1" customFormat="1" ht="12.75" hidden="1" outlineLevel="1">
      <c r="A69" s="751"/>
      <c r="B69" s="479" t="s">
        <v>571</v>
      </c>
      <c r="C69" s="471" t="str">
        <f>VLOOKUP(B69,Справочники!$B:$F,3,FALSE)</f>
        <v>Услуги почты</v>
      </c>
      <c r="D69" s="1054">
        <f>VLOOKUP($B69,Расходы!$B$10:$O$82,COLUMN(Расходы!D:D)-1,FALSE)</f>
        <v>650</v>
      </c>
      <c r="E69" s="1054">
        <f>VLOOKUP($B69,Расходы!$B$10:$O$82,COLUMN(Расходы!E:E)-1,FALSE)</f>
        <v>650</v>
      </c>
      <c r="F69" s="1054">
        <f>VLOOKUP($B69,Расходы!$B$10:$O$82,COLUMN(Расходы!F:F)-1,FALSE)</f>
        <v>650</v>
      </c>
      <c r="G69" s="1054">
        <f>VLOOKUP($B69,Расходы!$B$10:$O$82,COLUMN(Расходы!G:G)-1,FALSE)</f>
        <v>650</v>
      </c>
      <c r="H69" s="1054">
        <f>VLOOKUP($B69,Расходы!$B$10:$O$82,COLUMN(Расходы!H:H)-1,FALSE)</f>
        <v>3500</v>
      </c>
      <c r="I69" s="1054">
        <f>VLOOKUP($B69,Расходы!$B$10:$O$82,COLUMN(Расходы!I:I)-1,FALSE)</f>
        <v>3675</v>
      </c>
      <c r="J69" s="1054">
        <f>VLOOKUP($B69,Расходы!$B$10:$O$82,COLUMN(Расходы!J:J)-1,FALSE)</f>
        <v>3858.75</v>
      </c>
      <c r="K69" s="955">
        <f>VLOOKUP($B69,Расходы!$B$10:$O$82,COLUMN(Расходы!K:K)-1,FALSE)</f>
        <v>4051.6875</v>
      </c>
      <c r="L69" s="955">
        <f>VLOOKUP($B69,Расходы!$B$10:$O$82,COLUMN(Расходы!L:L)-1,FALSE)</f>
        <v>0</v>
      </c>
      <c r="M69" s="955">
        <f>VLOOKUP($B69,Расходы!$B$10:$O$82,COLUMN(Расходы!M:M)-1,FALSE)</f>
        <v>0</v>
      </c>
      <c r="N69" s="955">
        <f>VLOOKUP($B69,Расходы!$B$10:$O$82,COLUMN(Расходы!N:N)-1,FALSE)</f>
        <v>0</v>
      </c>
      <c r="O69" s="956">
        <f>VLOOKUP($B69,Расходы!$B$10:$O$82,COLUMN(Расходы!O:O)-1,FALSE)</f>
        <v>0</v>
      </c>
    </row>
    <row r="70" spans="1:15" s="1" customFormat="1" ht="12.75" hidden="1" outlineLevel="1">
      <c r="A70" s="751"/>
      <c r="B70" s="479" t="s">
        <v>572</v>
      </c>
      <c r="C70" s="471" t="str">
        <f>VLOOKUP(B70,Справочники!$B:$F,3,FALSE)</f>
        <v>Услуги по по таможенному оформлению </v>
      </c>
      <c r="D70" s="1054">
        <f>VLOOKUP($B70,Расходы!$B$10:$O$82,COLUMN(Расходы!D:D)-1,FALSE)</f>
        <v>0</v>
      </c>
      <c r="E70" s="1054">
        <f>VLOOKUP($B70,Расходы!$B$10:$O$82,COLUMN(Расходы!E:E)-1,FALSE)</f>
        <v>0</v>
      </c>
      <c r="F70" s="1054">
        <f>VLOOKUP($B70,Расходы!$B$10:$O$82,COLUMN(Расходы!F:F)-1,FALSE)</f>
        <v>0</v>
      </c>
      <c r="G70" s="1054">
        <f>VLOOKUP($B70,Расходы!$B$10:$O$82,COLUMN(Расходы!G:G)-1,FALSE)</f>
        <v>0</v>
      </c>
      <c r="H70" s="1054">
        <f>VLOOKUP($B70,Расходы!$B$10:$O$82,COLUMN(Расходы!H:H)-1,FALSE)</f>
        <v>0</v>
      </c>
      <c r="I70" s="1054">
        <f>VLOOKUP($B70,Расходы!$B$10:$O$82,COLUMN(Расходы!I:I)-1,FALSE)</f>
        <v>0</v>
      </c>
      <c r="J70" s="1054">
        <f>VLOOKUP($B70,Расходы!$B$10:$O$82,COLUMN(Расходы!J:J)-1,FALSE)</f>
        <v>0</v>
      </c>
      <c r="K70" s="955">
        <f>VLOOKUP($B70,Расходы!$B$10:$O$82,COLUMN(Расходы!K:K)-1,FALSE)</f>
        <v>0</v>
      </c>
      <c r="L70" s="955">
        <f>VLOOKUP($B70,Расходы!$B$10:$O$82,COLUMN(Расходы!L:L)-1,FALSE)</f>
        <v>0</v>
      </c>
      <c r="M70" s="955">
        <f>VLOOKUP($B70,Расходы!$B$10:$O$82,COLUMN(Расходы!M:M)-1,FALSE)</f>
        <v>0</v>
      </c>
      <c r="N70" s="955">
        <f>VLOOKUP($B70,Расходы!$B$10:$O$82,COLUMN(Расходы!N:N)-1,FALSE)</f>
        <v>0</v>
      </c>
      <c r="O70" s="956">
        <f>VLOOKUP($B70,Расходы!$B$10:$O$82,COLUMN(Расходы!O:O)-1,FALSE)</f>
        <v>0</v>
      </c>
    </row>
    <row r="71" spans="1:15" s="1" customFormat="1" ht="12.75" hidden="1" outlineLevel="1">
      <c r="A71" s="751"/>
      <c r="B71" s="479" t="s">
        <v>573</v>
      </c>
      <c r="C71" s="471" t="str">
        <f>VLOOKUP(B71,Справочники!$B:$F,3,FALSE)</f>
        <v>Транспортные услуги</v>
      </c>
      <c r="D71" s="1054">
        <f>VLOOKUP($B71,Расходы!$B$10:$O$82,COLUMN(Расходы!D:D)-1,FALSE)</f>
        <v>1000</v>
      </c>
      <c r="E71" s="1054">
        <f>VLOOKUP($B71,Расходы!$B$10:$O$82,COLUMN(Расходы!E:E)-1,FALSE)</f>
        <v>1000</v>
      </c>
      <c r="F71" s="1054">
        <f>VLOOKUP($B71,Расходы!$B$10:$O$82,COLUMN(Расходы!F:F)-1,FALSE)</f>
        <v>1000</v>
      </c>
      <c r="G71" s="1054">
        <f>VLOOKUP($B71,Расходы!$B$10:$O$82,COLUMN(Расходы!G:G)-1,FALSE)</f>
        <v>1000</v>
      </c>
      <c r="H71" s="1054">
        <f>VLOOKUP($B71,Расходы!$B$10:$O$82,COLUMN(Расходы!H:H)-1,FALSE)</f>
        <v>5000</v>
      </c>
      <c r="I71" s="1054">
        <f>VLOOKUP($B71,Расходы!$B$10:$O$82,COLUMN(Расходы!I:I)-1,FALSE)</f>
        <v>5500</v>
      </c>
      <c r="J71" s="1054">
        <f>VLOOKUP($B71,Расходы!$B$10:$O$82,COLUMN(Расходы!J:J)-1,FALSE)</f>
        <v>6000</v>
      </c>
      <c r="K71" s="955">
        <f>VLOOKUP($B71,Расходы!$B$10:$O$82,COLUMN(Расходы!K:K)-1,FALSE)</f>
        <v>6500</v>
      </c>
      <c r="L71" s="955">
        <f>VLOOKUP($B71,Расходы!$B$10:$O$82,COLUMN(Расходы!L:L)-1,FALSE)</f>
        <v>0</v>
      </c>
      <c r="M71" s="955">
        <f>VLOOKUP($B71,Расходы!$B$10:$O$82,COLUMN(Расходы!M:M)-1,FALSE)</f>
        <v>0</v>
      </c>
      <c r="N71" s="955">
        <f>VLOOKUP($B71,Расходы!$B$10:$O$82,COLUMN(Расходы!N:N)-1,FALSE)</f>
        <v>0</v>
      </c>
      <c r="O71" s="956">
        <f>VLOOKUP($B71,Расходы!$B$10:$O$82,COLUMN(Расходы!O:O)-1,FALSE)</f>
        <v>0</v>
      </c>
    </row>
    <row r="72" spans="1:15" s="1" customFormat="1" ht="12.75" hidden="1" outlineLevel="1">
      <c r="A72" s="751"/>
      <c r="B72" s="479" t="s">
        <v>705</v>
      </c>
      <c r="C72" s="471" t="str">
        <f>VLOOKUP(B72,Справочники!$B:$F,3,FALSE)</f>
        <v>Роялти</v>
      </c>
      <c r="D72" s="1054">
        <f>VLOOKUP($B72,Расходы!$B$10:$O$82,COLUMN(Расходы!D:D)-1,FALSE)</f>
        <v>0</v>
      </c>
      <c r="E72" s="1054">
        <f>VLOOKUP($B72,Расходы!$B$10:$O$82,COLUMN(Расходы!E:E)-1,FALSE)</f>
        <v>0</v>
      </c>
      <c r="F72" s="1054">
        <f>VLOOKUP($B72,Расходы!$B$10:$O$82,COLUMN(Расходы!F:F)-1,FALSE)</f>
        <v>0</v>
      </c>
      <c r="G72" s="1054">
        <f>VLOOKUP($B72,Расходы!$B$10:$O$82,COLUMN(Расходы!G:G)-1,FALSE)</f>
        <v>0</v>
      </c>
      <c r="H72" s="1054">
        <f>VLOOKUP($B72,Расходы!$B$10:$O$82,COLUMN(Расходы!H:H)-1,FALSE)</f>
        <v>77288.13559322034</v>
      </c>
      <c r="I72" s="1054">
        <f>VLOOKUP($B72,Расходы!$B$10:$O$82,COLUMN(Расходы!I:I)-1,FALSE)</f>
        <v>108203.38983050847</v>
      </c>
      <c r="J72" s="1054">
        <f>VLOOKUP($B72,Расходы!$B$10:$O$82,COLUMN(Расходы!J:J)-1,FALSE)</f>
        <v>154576.2711864407</v>
      </c>
      <c r="K72" s="955">
        <f>VLOOKUP($B72,Расходы!$B$10:$O$82,COLUMN(Расходы!K:K)-1,FALSE)</f>
        <v>128813.5593220339</v>
      </c>
      <c r="L72" s="955">
        <f>VLOOKUP($B72,Расходы!$B$10:$O$82,COLUMN(Расходы!L:L)-1,FALSE)</f>
        <v>82440.6779661017</v>
      </c>
      <c r="M72" s="955">
        <f>VLOOKUP($B72,Расходы!$B$10:$O$82,COLUMN(Расходы!M:M)-1,FALSE)</f>
        <v>0</v>
      </c>
      <c r="N72" s="955">
        <f>VLOOKUP($B72,Расходы!$B$10:$O$82,COLUMN(Расходы!N:N)-1,FALSE)</f>
        <v>0</v>
      </c>
      <c r="O72" s="956">
        <f>VLOOKUP($B72,Расходы!$B$10:$O$82,COLUMN(Расходы!O:O)-1,FALSE)</f>
        <v>0</v>
      </c>
    </row>
    <row r="73" spans="1:15" s="1" customFormat="1" ht="12.75" hidden="1" outlineLevel="1">
      <c r="A73" s="751"/>
      <c r="B73" s="479" t="s">
        <v>785</v>
      </c>
      <c r="C73" s="471" t="str">
        <f>VLOOKUP(B73,Справочники!$B:$F,3,FALSE)</f>
        <v>Прочие услуги </v>
      </c>
      <c r="D73" s="1054">
        <f>VLOOKUP($B73,Расходы!$B$10:$O$82,COLUMN(Расходы!D:D)-1,FALSE)</f>
        <v>0</v>
      </c>
      <c r="E73" s="1054">
        <f>VLOOKUP($B73,Расходы!$B$10:$O$82,COLUMN(Расходы!E:E)-1,FALSE)</f>
        <v>0</v>
      </c>
      <c r="F73" s="1054">
        <f>VLOOKUP($B73,Расходы!$B$10:$O$82,COLUMN(Расходы!F:F)-1,FALSE)</f>
        <v>0</v>
      </c>
      <c r="G73" s="1054">
        <f>VLOOKUP($B73,Расходы!$B$10:$O$82,COLUMN(Расходы!G:G)-1,FALSE)</f>
        <v>0</v>
      </c>
      <c r="H73" s="1054">
        <f>VLOOKUP($B73,Расходы!$B$10:$O$82,COLUMN(Расходы!H:H)-1,FALSE)</f>
        <v>0</v>
      </c>
      <c r="I73" s="1054">
        <f>VLOOKUP($B73,Расходы!$B$10:$O$82,COLUMN(Расходы!I:I)-1,FALSE)</f>
        <v>0</v>
      </c>
      <c r="J73" s="1054">
        <f>VLOOKUP($B73,Расходы!$B$10:$O$82,COLUMN(Расходы!J:J)-1,FALSE)</f>
        <v>0</v>
      </c>
      <c r="K73" s="955">
        <f>VLOOKUP($B73,Расходы!$B$10:$O$82,COLUMN(Расходы!K:K)-1,FALSE)</f>
        <v>0</v>
      </c>
      <c r="L73" s="955">
        <f>VLOOKUP($B73,Расходы!$B$10:$O$82,COLUMN(Расходы!L:L)-1,FALSE)</f>
        <v>0</v>
      </c>
      <c r="M73" s="955">
        <f>VLOOKUP($B73,Расходы!$B$10:$O$82,COLUMN(Расходы!M:M)-1,FALSE)</f>
        <v>0</v>
      </c>
      <c r="N73" s="955">
        <f>VLOOKUP($B73,Расходы!$B$10:$O$82,COLUMN(Расходы!N:N)-1,FALSE)</f>
        <v>0</v>
      </c>
      <c r="O73" s="956">
        <f>VLOOKUP($B73,Расходы!$B$10:$O$82,COLUMN(Расходы!O:O)-1,FALSE)</f>
        <v>0</v>
      </c>
    </row>
    <row r="74" spans="1:15" s="1" customFormat="1" ht="12.75" collapsed="1">
      <c r="A74" s="751"/>
      <c r="B74" s="478" t="s">
        <v>320</v>
      </c>
      <c r="C74" s="472" t="str">
        <f>VLOOKUP(B74,Справочники!$B:$F,3,FALSE)</f>
        <v>Амортизационные отчисления</v>
      </c>
      <c r="D74" s="1053">
        <f>VLOOKUP($B74,Расходы!$B$10:$O$82,COLUMN(Расходы!D:D)-1,FALSE)</f>
        <v>138.22462867012092</v>
      </c>
      <c r="E74" s="1053">
        <f>VLOOKUP($B74,Расходы!$B$10:$O$82,COLUMN(Расходы!E:E)-1,FALSE)</f>
        <v>139.22462867012092</v>
      </c>
      <c r="F74" s="1053">
        <f>VLOOKUP($B74,Расходы!$B$10:$O$82,COLUMN(Расходы!F:F)-1,FALSE)</f>
        <v>140.22462867012092</v>
      </c>
      <c r="G74" s="1053">
        <f>VLOOKUP($B74,Расходы!$B$10:$O$82,COLUMN(Расходы!G:G)-1,FALSE)</f>
        <v>364.4759240069085</v>
      </c>
      <c r="H74" s="1053">
        <f>VLOOKUP($B74,Расходы!$B$10:$O$82,COLUMN(Расходы!H:H)-1,FALSE)</f>
        <v>36568.898514680484</v>
      </c>
      <c r="I74" s="1053">
        <f>VLOOKUP($B74,Расходы!$B$10:$O$82,COLUMN(Расходы!I:I)-1,FALSE)</f>
        <v>38368.898514680484</v>
      </c>
      <c r="J74" s="1053">
        <f>VLOOKUP($B74,Расходы!$B$10:$O$82,COLUMN(Расходы!J:J)-1,FALSE)</f>
        <v>40568.898514680484</v>
      </c>
      <c r="K74" s="671">
        <f>VLOOKUP($B74,Расходы!$B$10:$O$82,COLUMN(Расходы!K:K)-1,FALSE)</f>
        <v>43168.898514680484</v>
      </c>
      <c r="L74" s="671">
        <f>VLOOKUP($B74,Расходы!$B$10:$O$82,COLUMN(Расходы!L:L)-1,FALSE)</f>
        <v>43168.898514680484</v>
      </c>
      <c r="M74" s="671">
        <f>VLOOKUP($B74,Расходы!$B$10:$O$82,COLUMN(Расходы!M:M)-1,FALSE)</f>
        <v>43168.898514680484</v>
      </c>
      <c r="N74" s="671">
        <f>VLOOKUP($B74,Расходы!$B$10:$O$82,COLUMN(Расходы!N:N)-1,FALSE)</f>
        <v>43168.898514680484</v>
      </c>
      <c r="O74" s="877">
        <f>VLOOKUP($B74,Расходы!$B$10:$O$82,COLUMN(Расходы!O:O)-1,FALSE)</f>
        <v>43168.898514680484</v>
      </c>
    </row>
    <row r="75" spans="1:15" s="1" customFormat="1" ht="12.75" hidden="1" outlineLevel="1">
      <c r="A75" s="751"/>
      <c r="B75" s="753" t="s">
        <v>321</v>
      </c>
      <c r="C75" s="473" t="str">
        <f>VLOOKUP(B75,Справочники!$B:$F,3,FALSE)</f>
        <v>Амортизация материальных активов</v>
      </c>
      <c r="D75" s="1054">
        <f>VLOOKUP($B75,Расходы!$B$10:$O$82,COLUMN(Расходы!D:D)-1,FALSE)</f>
        <v>107.39561312607945</v>
      </c>
      <c r="E75" s="1054">
        <f>VLOOKUP($B75,Расходы!$B$10:$O$82,COLUMN(Расходы!E:E)-1,FALSE)</f>
        <v>108.39561312607945</v>
      </c>
      <c r="F75" s="1054">
        <f>VLOOKUP($B75,Расходы!$B$10:$O$82,COLUMN(Расходы!F:F)-1,FALSE)</f>
        <v>109.39561312607945</v>
      </c>
      <c r="G75" s="1054">
        <f>VLOOKUP($B75,Расходы!$B$10:$O$82,COLUMN(Расходы!G:G)-1,FALSE)</f>
        <v>110.39561312607945</v>
      </c>
      <c r="H75" s="1054">
        <f>VLOOKUP($B75,Расходы!$B$10:$O$82,COLUMN(Расходы!H:H)-1,FALSE)</f>
        <v>445.5824525043178</v>
      </c>
      <c r="I75" s="1054">
        <f>VLOOKUP($B75,Расходы!$B$10:$O$82,COLUMN(Расходы!I:I)-1,FALSE)</f>
        <v>2245.5824525043176</v>
      </c>
      <c r="J75" s="1054">
        <f>VLOOKUP($B75,Расходы!$B$10:$O$82,COLUMN(Расходы!J:J)-1,FALSE)</f>
        <v>4445.582452504318</v>
      </c>
      <c r="K75" s="955">
        <f>VLOOKUP($B75,Расходы!$B$10:$O$82,COLUMN(Расходы!K:K)-1,FALSE)</f>
        <v>7045.582452504318</v>
      </c>
      <c r="L75" s="955">
        <f>VLOOKUP($B75,Расходы!$B$10:$O$82,COLUMN(Расходы!L:L)-1,FALSE)</f>
        <v>7045.582452504318</v>
      </c>
      <c r="M75" s="955">
        <f>VLOOKUP($B75,Расходы!$B$10:$O$82,COLUMN(Расходы!M:M)-1,FALSE)</f>
        <v>7045.582452504318</v>
      </c>
      <c r="N75" s="955">
        <f>VLOOKUP($B75,Расходы!$B$10:$O$82,COLUMN(Расходы!N:N)-1,FALSE)</f>
        <v>7045.582452504318</v>
      </c>
      <c r="O75" s="956">
        <f>VLOOKUP($B75,Расходы!$B$10:$O$82,COLUMN(Расходы!O:O)-1,FALSE)</f>
        <v>7045.582452504318</v>
      </c>
    </row>
    <row r="76" spans="1:15" s="1" customFormat="1" ht="12.75" hidden="1" outlineLevel="1">
      <c r="A76" s="751"/>
      <c r="B76" s="753" t="s">
        <v>322</v>
      </c>
      <c r="C76" s="473" t="str">
        <f>VLOOKUP(B76,Справочники!$B:$F,3,FALSE)</f>
        <v>Амортизация нематериальных активов</v>
      </c>
      <c r="D76" s="1054">
        <f>VLOOKUP($B76,Расходы!$B$10:$O$82,COLUMN(Расходы!D:D)-1,FALSE)</f>
        <v>30.829015544041454</v>
      </c>
      <c r="E76" s="1054">
        <f>VLOOKUP($B76,Расходы!$B$10:$O$82,COLUMN(Расходы!E:E)-1,FALSE)</f>
        <v>30.829015544041454</v>
      </c>
      <c r="F76" s="1054">
        <f>VLOOKUP($B76,Расходы!$B$10:$O$82,COLUMN(Расходы!F:F)-1,FALSE)</f>
        <v>30.829015544041454</v>
      </c>
      <c r="G76" s="1054">
        <f>VLOOKUP($B76,Расходы!$B$10:$O$82,COLUMN(Расходы!G:G)-1,FALSE)</f>
        <v>254.08031088082905</v>
      </c>
      <c r="H76" s="1054">
        <f>VLOOKUP($B76,Расходы!$B$10:$O$82,COLUMN(Расходы!H:H)-1,FALSE)</f>
        <v>36123.31606217616</v>
      </c>
      <c r="I76" s="1054">
        <f>VLOOKUP($B76,Расходы!$B$10:$O$82,COLUMN(Расходы!I:I)-1,FALSE)</f>
        <v>36123.31606217616</v>
      </c>
      <c r="J76" s="1054">
        <f>VLOOKUP($B76,Расходы!$B$10:$O$82,COLUMN(Расходы!J:J)-1,FALSE)</f>
        <v>36123.31606217616</v>
      </c>
      <c r="K76" s="955">
        <f>VLOOKUP($B76,Расходы!$B$10:$O$82,COLUMN(Расходы!K:K)-1,FALSE)</f>
        <v>36123.31606217616</v>
      </c>
      <c r="L76" s="955">
        <f>VLOOKUP($B76,Расходы!$B$10:$O$82,COLUMN(Расходы!L:L)-1,FALSE)</f>
        <v>36123.31606217616</v>
      </c>
      <c r="M76" s="955">
        <f>VLOOKUP($B76,Расходы!$B$10:$O$82,COLUMN(Расходы!M:M)-1,FALSE)</f>
        <v>36123.31606217616</v>
      </c>
      <c r="N76" s="955">
        <f>VLOOKUP($B76,Расходы!$B$10:$O$82,COLUMN(Расходы!N:N)-1,FALSE)</f>
        <v>36123.31606217616</v>
      </c>
      <c r="O76" s="956">
        <f>VLOOKUP($B76,Расходы!$B$10:$O$82,COLUMN(Расходы!O:O)-1,FALSE)</f>
        <v>36123.31606217616</v>
      </c>
    </row>
    <row r="77" spans="1:15" s="1" customFormat="1" ht="12.75" collapsed="1">
      <c r="A77" s="751"/>
      <c r="B77" s="478" t="s">
        <v>103</v>
      </c>
      <c r="C77" s="472" t="str">
        <f>VLOOKUP(B77,Справочники!$B:$F,3,FALSE)</f>
        <v>Налоги и сборы</v>
      </c>
      <c r="D77" s="1053">
        <f aca="true" t="shared" si="8" ref="D77:O77">SUM(D78:D80)</f>
        <v>423.35222746113993</v>
      </c>
      <c r="E77" s="1053">
        <f t="shared" si="8"/>
        <v>427.65610431778936</v>
      </c>
      <c r="F77" s="1053">
        <f t="shared" si="8"/>
        <v>431.95498117443873</v>
      </c>
      <c r="G77" s="1053">
        <f t="shared" si="8"/>
        <v>2235.132601554404</v>
      </c>
      <c r="H77" s="1053">
        <f t="shared" si="8"/>
        <v>8229.152435924007</v>
      </c>
      <c r="I77" s="1053">
        <f t="shared" si="8"/>
        <v>16461.7744656304</v>
      </c>
      <c r="J77" s="1053">
        <f t="shared" si="8"/>
        <v>26650.396495336787</v>
      </c>
      <c r="K77" s="671">
        <f t="shared" si="8"/>
        <v>38787.018525043175</v>
      </c>
      <c r="L77" s="671">
        <f t="shared" si="8"/>
        <v>37923.640554749574</v>
      </c>
      <c r="M77" s="671">
        <f t="shared" si="8"/>
        <v>37060.26258445596</v>
      </c>
      <c r="N77" s="671">
        <f t="shared" si="8"/>
        <v>36196.88461416235</v>
      </c>
      <c r="O77" s="877">
        <f t="shared" si="8"/>
        <v>35333.50664386874</v>
      </c>
    </row>
    <row r="78" spans="1:15" s="1" customFormat="1" ht="12.75" hidden="1" outlineLevel="1">
      <c r="A78" s="751"/>
      <c r="B78" s="753" t="s">
        <v>521</v>
      </c>
      <c r="C78" s="740" t="str">
        <f>VLOOKUP(B78,Справочники!$B:$F,3,FALSE)</f>
        <v>Налог на имущество</v>
      </c>
      <c r="D78" s="1054">
        <f>VLOOKUP($B78,Расходы!$B$10:$O$82,COLUMN(Расходы!D:D)-1,FALSE)</f>
        <v>423.35222746113993</v>
      </c>
      <c r="E78" s="1054">
        <f>VLOOKUP($B78,Расходы!$B$10:$O$82,COLUMN(Расходы!E:E)-1,FALSE)</f>
        <v>427.65610431778936</v>
      </c>
      <c r="F78" s="1054">
        <f>VLOOKUP($B78,Расходы!$B$10:$O$82,COLUMN(Расходы!F:F)-1,FALSE)</f>
        <v>431.95498117443873</v>
      </c>
      <c r="G78" s="1054">
        <f>VLOOKUP($B78,Расходы!$B$10:$O$82,COLUMN(Расходы!G:G)-1,FALSE)</f>
        <v>2235.132601554404</v>
      </c>
      <c r="H78" s="1054">
        <f>VLOOKUP($B78,Расходы!$B$10:$O$82,COLUMN(Расходы!H:H)-1,FALSE)</f>
        <v>8229.152435924007</v>
      </c>
      <c r="I78" s="1054">
        <f>VLOOKUP($B78,Расходы!$B$10:$O$82,COLUMN(Расходы!I:I)-1,FALSE)</f>
        <v>16461.7744656304</v>
      </c>
      <c r="J78" s="1054">
        <f>VLOOKUP($B78,Расходы!$B$10:$O$82,COLUMN(Расходы!J:J)-1,FALSE)</f>
        <v>26650.396495336787</v>
      </c>
      <c r="K78" s="955">
        <f>VLOOKUP($B78,Расходы!$B$10:$O$82,COLUMN(Расходы!K:K)-1,FALSE)</f>
        <v>38787.018525043175</v>
      </c>
      <c r="L78" s="955">
        <f>VLOOKUP($B78,Расходы!$B$10:$O$82,COLUMN(Расходы!L:L)-1,FALSE)</f>
        <v>37923.640554749574</v>
      </c>
      <c r="M78" s="955">
        <f>VLOOKUP($B78,Расходы!$B$10:$O$82,COLUMN(Расходы!M:M)-1,FALSE)</f>
        <v>37060.26258445596</v>
      </c>
      <c r="N78" s="955">
        <f>VLOOKUP($B78,Расходы!$B$10:$O$82,COLUMN(Расходы!N:N)-1,FALSE)</f>
        <v>36196.88461416235</v>
      </c>
      <c r="O78" s="956">
        <f>VLOOKUP($B78,Расходы!$B$10:$O$82,COLUMN(Расходы!O:O)-1,FALSE)</f>
        <v>35333.50664386874</v>
      </c>
    </row>
    <row r="79" spans="1:15" s="1" customFormat="1" ht="12.75" hidden="1" outlineLevel="1">
      <c r="A79" s="751"/>
      <c r="B79" s="753" t="s">
        <v>574</v>
      </c>
      <c r="C79" s="740" t="str">
        <f>VLOOKUP(B79,Справочники!$B:$F,3,FALSE)</f>
        <v>Налог на дивиденды</v>
      </c>
      <c r="D79" s="1054">
        <f>VLOOKUP($B79,Расходы!$B$10:$O$82,COLUMN(Расходы!D:D)-1,FALSE)</f>
        <v>0</v>
      </c>
      <c r="E79" s="1054">
        <f>VLOOKUP($B79,Расходы!$B$10:$O$82,COLUMN(Расходы!E:E)-1,FALSE)</f>
        <v>0</v>
      </c>
      <c r="F79" s="1054">
        <f>VLOOKUP($B79,Расходы!$B$10:$O$82,COLUMN(Расходы!F:F)-1,FALSE)</f>
        <v>0</v>
      </c>
      <c r="G79" s="1054">
        <f>VLOOKUP($B79,Расходы!$B$10:$O$82,COLUMN(Расходы!G:G)-1,FALSE)</f>
        <v>0</v>
      </c>
      <c r="H79" s="1054">
        <f>VLOOKUP($B79,Расходы!$B$10:$O$82,COLUMN(Расходы!H:H)-1,FALSE)</f>
        <v>0</v>
      </c>
      <c r="I79" s="1054">
        <f>VLOOKUP($B79,Расходы!$B$10:$O$82,COLUMN(Расходы!I:I)-1,FALSE)</f>
        <v>0</v>
      </c>
      <c r="J79" s="1054">
        <f>VLOOKUP($B79,Расходы!$B$10:$O$82,COLUMN(Расходы!J:J)-1,FALSE)</f>
        <v>0</v>
      </c>
      <c r="K79" s="955">
        <f>VLOOKUP($B79,Расходы!$B$10:$O$82,COLUMN(Расходы!K:K)-1,FALSE)</f>
        <v>0</v>
      </c>
      <c r="L79" s="955">
        <f>VLOOKUP($B79,Расходы!$B$10:$O$82,COLUMN(Расходы!L:L)-1,FALSE)</f>
        <v>0</v>
      </c>
      <c r="M79" s="955">
        <f>VLOOKUP($B79,Расходы!$B$10:$O$82,COLUMN(Расходы!M:M)-1,FALSE)</f>
        <v>0</v>
      </c>
      <c r="N79" s="955">
        <f>VLOOKUP($B79,Расходы!$B$10:$O$82,COLUMN(Расходы!N:N)-1,FALSE)</f>
        <v>0</v>
      </c>
      <c r="O79" s="956">
        <f>VLOOKUP($B79,Расходы!$B$10:$O$82,COLUMN(Расходы!O:O)-1,FALSE)</f>
        <v>0</v>
      </c>
    </row>
    <row r="80" spans="1:15" s="1" customFormat="1" ht="12.75" hidden="1" outlineLevel="1">
      <c r="A80" s="751"/>
      <c r="B80" s="753" t="s">
        <v>578</v>
      </c>
      <c r="C80" s="740" t="str">
        <f>VLOOKUP(B80,Справочники!$B:$F,3,FALSE)</f>
        <v>Прочие налоги и сборы</v>
      </c>
      <c r="D80" s="1054">
        <f>VLOOKUP($B80,Расходы!$B$10:$O$82,COLUMN(Расходы!D:D)-1,FALSE)</f>
        <v>0</v>
      </c>
      <c r="E80" s="1054">
        <f>VLOOKUP($B80,Расходы!$B$10:$O$82,COLUMN(Расходы!E:E)-1,FALSE)</f>
        <v>0</v>
      </c>
      <c r="F80" s="1054">
        <f>VLOOKUP($B80,Расходы!$B$10:$O$82,COLUMN(Расходы!F:F)-1,FALSE)</f>
        <v>0</v>
      </c>
      <c r="G80" s="1054">
        <f>VLOOKUP($B80,Расходы!$B$10:$O$82,COLUMN(Расходы!G:G)-1,FALSE)</f>
        <v>0</v>
      </c>
      <c r="H80" s="1054">
        <f>VLOOKUP($B80,Расходы!$B$10:$O$82,COLUMN(Расходы!H:H)-1,FALSE)</f>
        <v>0</v>
      </c>
      <c r="I80" s="1054">
        <f>VLOOKUP($B80,Расходы!$B$10:$O$82,COLUMN(Расходы!I:I)-1,FALSE)</f>
        <v>0</v>
      </c>
      <c r="J80" s="1054">
        <f>VLOOKUP($B80,Расходы!$B$10:$O$82,COLUMN(Расходы!J:J)-1,FALSE)</f>
        <v>0</v>
      </c>
      <c r="K80" s="955">
        <f>VLOOKUP($B80,Расходы!$B$10:$O$82,COLUMN(Расходы!K:K)-1,FALSE)</f>
        <v>0</v>
      </c>
      <c r="L80" s="955">
        <f>VLOOKUP($B80,Расходы!$B$10:$O$82,COLUMN(Расходы!L:L)-1,FALSE)</f>
        <v>0</v>
      </c>
      <c r="M80" s="955">
        <f>VLOOKUP($B80,Расходы!$B$10:$O$82,COLUMN(Расходы!M:M)-1,FALSE)</f>
        <v>0</v>
      </c>
      <c r="N80" s="955">
        <f>VLOOKUP($B80,Расходы!$B$10:$O$82,COLUMN(Расходы!N:N)-1,FALSE)</f>
        <v>0</v>
      </c>
      <c r="O80" s="956">
        <f>VLOOKUP($B80,Расходы!$B$10:$O$82,COLUMN(Расходы!O:O)-1,FALSE)</f>
        <v>0</v>
      </c>
    </row>
    <row r="81" spans="1:15" s="1" customFormat="1" ht="12.75" collapsed="1">
      <c r="A81" s="751"/>
      <c r="B81" s="478" t="s">
        <v>110</v>
      </c>
      <c r="C81" s="472" t="str">
        <f>VLOOKUP(B81,Справочники!$B:$F,3,FALSE)</f>
        <v>Социальные расходы и расходы на развитие персонала</v>
      </c>
      <c r="D81" s="1053">
        <f>VLOOKUP($B81,Расходы!$B$10:$O$82,COLUMN(Расходы!D:D)-1,FALSE)</f>
        <v>1860</v>
      </c>
      <c r="E81" s="1053">
        <f>VLOOKUP($B81,Расходы!$B$10:$O$82,COLUMN(Расходы!E:E)-1,FALSE)</f>
        <v>1860</v>
      </c>
      <c r="F81" s="1053">
        <f>VLOOKUP($B81,Расходы!$B$10:$O$82,COLUMN(Расходы!F:F)-1,FALSE)</f>
        <v>450</v>
      </c>
      <c r="G81" s="1053">
        <f>VLOOKUP($B81,Расходы!$B$10:$O$82,COLUMN(Расходы!G:G)-1,FALSE)</f>
        <v>4950</v>
      </c>
      <c r="H81" s="1053">
        <f>VLOOKUP($B81,Расходы!$B$10:$O$82,COLUMN(Расходы!H:H)-1,FALSE)</f>
        <v>7500</v>
      </c>
      <c r="I81" s="1053">
        <f>VLOOKUP($B81,Расходы!$B$10:$O$82,COLUMN(Расходы!I:I)-1,FALSE)</f>
        <v>8000</v>
      </c>
      <c r="J81" s="1053">
        <f>VLOOKUP($B81,Расходы!$B$10:$O$82,COLUMN(Расходы!J:J)-1,FALSE)</f>
        <v>9000</v>
      </c>
      <c r="K81" s="671">
        <f>VLOOKUP($B81,Расходы!$B$10:$O$82,COLUMN(Расходы!K:K)-1,FALSE)</f>
        <v>9500</v>
      </c>
      <c r="L81" s="671">
        <f>VLOOKUP($B81,Расходы!$B$10:$O$82,COLUMN(Расходы!L:L)-1,FALSE)</f>
        <v>0</v>
      </c>
      <c r="M81" s="671">
        <f>VLOOKUP($B81,Расходы!$B$10:$O$82,COLUMN(Расходы!M:M)-1,FALSE)</f>
        <v>0</v>
      </c>
      <c r="N81" s="671">
        <f>VLOOKUP($B81,Расходы!$B$10:$O$82,COLUMN(Расходы!N:N)-1,FALSE)</f>
        <v>0</v>
      </c>
      <c r="O81" s="877">
        <f>VLOOKUP($B81,Расходы!$B$10:$O$82,COLUMN(Расходы!O:O)-1,FALSE)</f>
        <v>0</v>
      </c>
    </row>
    <row r="82" spans="1:15" s="1" customFormat="1" ht="12.75" hidden="1" outlineLevel="1">
      <c r="A82" s="751"/>
      <c r="B82" s="753" t="s">
        <v>111</v>
      </c>
      <c r="C82" s="740" t="str">
        <f>VLOOKUP(B82,Справочники!$B:$F,3,FALSE)</f>
        <v>Социальные выплаты и льготы</v>
      </c>
      <c r="D82" s="1054">
        <f>VLOOKUP($B82,Расходы!$B$10:$O$82,COLUMN(Расходы!D:D)-1,FALSE)</f>
        <v>0</v>
      </c>
      <c r="E82" s="1054">
        <f>VLOOKUP($B82,Расходы!$B$10:$O$82,COLUMN(Расходы!E:E)-1,FALSE)</f>
        <v>0</v>
      </c>
      <c r="F82" s="1054">
        <f>VLOOKUP($B82,Расходы!$B$10:$O$82,COLUMN(Расходы!F:F)-1,FALSE)</f>
        <v>0</v>
      </c>
      <c r="G82" s="1054">
        <f>VLOOKUP($B82,Расходы!$B$10:$O$82,COLUMN(Расходы!G:G)-1,FALSE)</f>
        <v>0</v>
      </c>
      <c r="H82" s="1054">
        <f>VLOOKUP($B82,Расходы!$B$10:$O$82,COLUMN(Расходы!H:H)-1,FALSE)</f>
        <v>0</v>
      </c>
      <c r="I82" s="1054">
        <f>VLOOKUP($B82,Расходы!$B$10:$O$82,COLUMN(Расходы!I:I)-1,FALSE)</f>
        <v>0</v>
      </c>
      <c r="J82" s="1054">
        <f>VLOOKUP($B82,Расходы!$B$10:$O$82,COLUMN(Расходы!J:J)-1,FALSE)</f>
        <v>0</v>
      </c>
      <c r="K82" s="955">
        <f>VLOOKUP($B82,Расходы!$B$10:$O$82,COLUMN(Расходы!K:K)-1,FALSE)</f>
        <v>0</v>
      </c>
      <c r="L82" s="955">
        <f>VLOOKUP($B82,Расходы!$B$10:$O$82,COLUMN(Расходы!L:L)-1,FALSE)</f>
        <v>0</v>
      </c>
      <c r="M82" s="955">
        <f>VLOOKUP($B82,Расходы!$B$10:$O$82,COLUMN(Расходы!M:M)-1,FALSE)</f>
        <v>0</v>
      </c>
      <c r="N82" s="955">
        <f>VLOOKUP($B82,Расходы!$B$10:$O$82,COLUMN(Расходы!N:N)-1,FALSE)</f>
        <v>0</v>
      </c>
      <c r="O82" s="956">
        <f>VLOOKUP($B82,Расходы!$B$10:$O$82,COLUMN(Расходы!O:O)-1,FALSE)</f>
        <v>0</v>
      </c>
    </row>
    <row r="83" spans="1:15" s="1" customFormat="1" ht="12.75" hidden="1" outlineLevel="1">
      <c r="A83" s="751"/>
      <c r="B83" s="753" t="s">
        <v>112</v>
      </c>
      <c r="C83" s="740" t="str">
        <f>VLOOKUP(B83,Справочники!$B:$F,3,FALSE)</f>
        <v>Корпоративные мероприятия</v>
      </c>
      <c r="D83" s="1054">
        <f>VLOOKUP($B83,Расходы!$B$10:$O$82,COLUMN(Расходы!D:D)-1,FALSE)</f>
        <v>0</v>
      </c>
      <c r="E83" s="1054">
        <f>VLOOKUP($B83,Расходы!$B$10:$O$82,COLUMN(Расходы!E:E)-1,FALSE)</f>
        <v>0</v>
      </c>
      <c r="F83" s="1054">
        <f>VLOOKUP($B83,Расходы!$B$10:$O$82,COLUMN(Расходы!F:F)-1,FALSE)</f>
        <v>0</v>
      </c>
      <c r="G83" s="1054">
        <f>VLOOKUP($B83,Расходы!$B$10:$O$82,COLUMN(Расходы!G:G)-1,FALSE)</f>
        <v>4500</v>
      </c>
      <c r="H83" s="1054">
        <f>VLOOKUP($B83,Расходы!$B$10:$O$82,COLUMN(Расходы!H:H)-1,FALSE)</f>
        <v>6000</v>
      </c>
      <c r="I83" s="1054">
        <f>VLOOKUP($B83,Расходы!$B$10:$O$82,COLUMN(Расходы!I:I)-1,FALSE)</f>
        <v>6000</v>
      </c>
      <c r="J83" s="1054">
        <f>VLOOKUP($B83,Расходы!$B$10:$O$82,COLUMN(Расходы!J:J)-1,FALSE)</f>
        <v>6500</v>
      </c>
      <c r="K83" s="955">
        <f>VLOOKUP($B83,Расходы!$B$10:$O$82,COLUMN(Расходы!K:K)-1,FALSE)</f>
        <v>6500</v>
      </c>
      <c r="L83" s="955">
        <f>VLOOKUP($B83,Расходы!$B$10:$O$82,COLUMN(Расходы!L:L)-1,FALSE)</f>
        <v>0</v>
      </c>
      <c r="M83" s="955">
        <f>VLOOKUP($B83,Расходы!$B$10:$O$82,COLUMN(Расходы!M:M)-1,FALSE)</f>
        <v>0</v>
      </c>
      <c r="N83" s="955">
        <f>VLOOKUP($B83,Расходы!$B$10:$O$82,COLUMN(Расходы!N:N)-1,FALSE)</f>
        <v>0</v>
      </c>
      <c r="O83" s="956">
        <f>VLOOKUP($B83,Расходы!$B$10:$O$82,COLUMN(Расходы!O:O)-1,FALSE)</f>
        <v>0</v>
      </c>
    </row>
    <row r="84" spans="1:15" s="1" customFormat="1" ht="12.75" hidden="1" outlineLevel="1">
      <c r="A84" s="751"/>
      <c r="B84" s="753" t="s">
        <v>113</v>
      </c>
      <c r="C84" s="740" t="str">
        <f>VLOOKUP(B84,Справочники!$B:$F,3,FALSE)</f>
        <v>Обучение и развитие персонала</v>
      </c>
      <c r="D84" s="1054">
        <f>VLOOKUP($B84,Расходы!$B$10:$O$82,COLUMN(Расходы!D:D)-1,FALSE)</f>
        <v>1860</v>
      </c>
      <c r="E84" s="1054">
        <f>VLOOKUP($B84,Расходы!$B$10:$O$82,COLUMN(Расходы!E:E)-1,FALSE)</f>
        <v>1860</v>
      </c>
      <c r="F84" s="1054">
        <f>VLOOKUP($B84,Расходы!$B$10:$O$82,COLUMN(Расходы!F:F)-1,FALSE)</f>
        <v>450</v>
      </c>
      <c r="G84" s="1054">
        <f>VLOOKUP($B84,Расходы!$B$10:$O$82,COLUMN(Расходы!G:G)-1,FALSE)</f>
        <v>450</v>
      </c>
      <c r="H84" s="1054">
        <f>VLOOKUP($B84,Расходы!$B$10:$O$82,COLUMN(Расходы!H:H)-1,FALSE)</f>
        <v>1500</v>
      </c>
      <c r="I84" s="1054">
        <f>VLOOKUP($B84,Расходы!$B$10:$O$82,COLUMN(Расходы!I:I)-1,FALSE)</f>
        <v>2000</v>
      </c>
      <c r="J84" s="1054">
        <f>VLOOKUP($B84,Расходы!$B$10:$O$82,COLUMN(Расходы!J:J)-1,FALSE)</f>
        <v>2500</v>
      </c>
      <c r="K84" s="955">
        <f>VLOOKUP($B84,Расходы!$B$10:$O$82,COLUMN(Расходы!K:K)-1,FALSE)</f>
        <v>3000</v>
      </c>
      <c r="L84" s="955">
        <f>VLOOKUP($B84,Расходы!$B$10:$O$82,COLUMN(Расходы!L:L)-1,FALSE)</f>
        <v>0</v>
      </c>
      <c r="M84" s="955">
        <f>VLOOKUP($B84,Расходы!$B$10:$O$82,COLUMN(Расходы!M:M)-1,FALSE)</f>
        <v>0</v>
      </c>
      <c r="N84" s="955">
        <f>VLOOKUP($B84,Расходы!$B$10:$O$82,COLUMN(Расходы!N:N)-1,FALSE)</f>
        <v>0</v>
      </c>
      <c r="O84" s="956">
        <f>VLOOKUP($B84,Расходы!$B$10:$O$82,COLUMN(Расходы!O:O)-1,FALSE)</f>
        <v>0</v>
      </c>
    </row>
    <row r="85" spans="1:15" s="1" customFormat="1" ht="12.75" hidden="1" outlineLevel="1">
      <c r="A85" s="751"/>
      <c r="B85" s="753" t="s">
        <v>114</v>
      </c>
      <c r="C85" s="740" t="str">
        <f>VLOOKUP(B85,Справочники!$B:$F,3,FALSE)</f>
        <v>Прочие расходы на персонал</v>
      </c>
      <c r="D85" s="1054">
        <f>VLOOKUP($B85,Расходы!$B$10:$O$82,COLUMN(Расходы!D:D)-1,FALSE)</f>
        <v>0</v>
      </c>
      <c r="E85" s="1054">
        <f>VLOOKUP($B85,Расходы!$B$10:$O$82,COLUMN(Расходы!E:E)-1,FALSE)</f>
        <v>0</v>
      </c>
      <c r="F85" s="1054">
        <f>VLOOKUP($B85,Расходы!$B$10:$O$82,COLUMN(Расходы!F:F)-1,FALSE)</f>
        <v>0</v>
      </c>
      <c r="G85" s="1054">
        <f>VLOOKUP($B85,Расходы!$B$10:$O$82,COLUMN(Расходы!G:G)-1,FALSE)</f>
        <v>0</v>
      </c>
      <c r="H85" s="1054">
        <f>VLOOKUP($B85,Расходы!$B$10:$O$82,COLUMN(Расходы!H:H)-1,FALSE)</f>
        <v>0</v>
      </c>
      <c r="I85" s="1054">
        <f>VLOOKUP($B85,Расходы!$B$10:$O$82,COLUMN(Расходы!I:I)-1,FALSE)</f>
        <v>0</v>
      </c>
      <c r="J85" s="1054">
        <f>VLOOKUP($B85,Расходы!$B$10:$O$82,COLUMN(Расходы!J:J)-1,FALSE)</f>
        <v>0</v>
      </c>
      <c r="K85" s="955">
        <f>VLOOKUP($B85,Расходы!$B$10:$O$82,COLUMN(Расходы!K:K)-1,FALSE)</f>
        <v>0</v>
      </c>
      <c r="L85" s="955">
        <f>VLOOKUP($B85,Расходы!$B$10:$O$82,COLUMN(Расходы!L:L)-1,FALSE)</f>
        <v>0</v>
      </c>
      <c r="M85" s="955">
        <f>VLOOKUP($B85,Расходы!$B$10:$O$82,COLUMN(Расходы!M:M)-1,FALSE)</f>
        <v>0</v>
      </c>
      <c r="N85" s="955">
        <f>VLOOKUP($B85,Расходы!$B$10:$O$82,COLUMN(Расходы!N:N)-1,FALSE)</f>
        <v>0</v>
      </c>
      <c r="O85" s="956">
        <f>VLOOKUP($B85,Расходы!$B$10:$O$82,COLUMN(Расходы!O:O)-1,FALSE)</f>
        <v>0</v>
      </c>
    </row>
    <row r="86" spans="1:15" s="1" customFormat="1" ht="12.75" collapsed="1">
      <c r="A86" s="751"/>
      <c r="B86" s="478" t="s">
        <v>115</v>
      </c>
      <c r="C86" s="472" t="str">
        <f>VLOOKUP(B86,Справочники!$B:$F,3,FALSE)</f>
        <v>Прочие расходы</v>
      </c>
      <c r="D86" s="1053">
        <f>VLOOKUP($B86,Расходы!$B$10:$O$82,COLUMN(Расходы!D:D)-1,FALSE)</f>
        <v>9000</v>
      </c>
      <c r="E86" s="1053">
        <f>VLOOKUP($B86,Расходы!$B$10:$O$82,COLUMN(Расходы!E:E)-1,FALSE)</f>
        <v>10000</v>
      </c>
      <c r="F86" s="1053">
        <f>VLOOKUP($B86,Расходы!$B$10:$O$82,COLUMN(Расходы!F:F)-1,FALSE)</f>
        <v>14000</v>
      </c>
      <c r="G86" s="1053">
        <f>VLOOKUP($B86,Расходы!$B$10:$O$82,COLUMN(Расходы!G:G)-1,FALSE)</f>
        <v>23000</v>
      </c>
      <c r="H86" s="1053">
        <f>VLOOKUP($B86,Расходы!$B$10:$O$82,COLUMN(Расходы!H:H)-1,FALSE)</f>
        <v>90000</v>
      </c>
      <c r="I86" s="1053">
        <f>VLOOKUP($B86,Расходы!$B$10:$O$82,COLUMN(Расходы!I:I)-1,FALSE)</f>
        <v>100000</v>
      </c>
      <c r="J86" s="1053">
        <f>VLOOKUP($B86,Расходы!$B$10:$O$82,COLUMN(Расходы!J:J)-1,FALSE)</f>
        <v>110500</v>
      </c>
      <c r="K86" s="671">
        <f>VLOOKUP($B86,Расходы!$B$10:$O$82,COLUMN(Расходы!K:K)-1,FALSE)</f>
        <v>66550</v>
      </c>
      <c r="L86" s="671">
        <f>VLOOKUP($B86,Расходы!$B$10:$O$82,COLUMN(Расходы!L:L)-1,FALSE)</f>
        <v>0</v>
      </c>
      <c r="M86" s="671">
        <f>VLOOKUP($B86,Расходы!$B$10:$O$82,COLUMN(Расходы!M:M)-1,FALSE)</f>
        <v>0</v>
      </c>
      <c r="N86" s="671">
        <f>VLOOKUP($B86,Расходы!$B$10:$O$82,COLUMN(Расходы!N:N)-1,FALSE)</f>
        <v>0</v>
      </c>
      <c r="O86" s="877">
        <f>VLOOKUP($B86,Расходы!$B$10:$O$82,COLUMN(Расходы!O:O)-1,FALSE)</f>
        <v>0</v>
      </c>
    </row>
    <row r="87" spans="1:15" s="1" customFormat="1" ht="12.75" hidden="1" outlineLevel="1">
      <c r="A87" s="751"/>
      <c r="B87" s="753" t="s">
        <v>116</v>
      </c>
      <c r="C87" s="473" t="str">
        <f>VLOOKUP(B87,Справочники!$B:$F,3,FALSE)</f>
        <v>Судебные расходы и арбитражные сборы</v>
      </c>
      <c r="D87" s="1054">
        <f>VLOOKUP($B87,Расходы!$B$10:$O$82,COLUMN(Расходы!D:D)-1,FALSE)</f>
        <v>0</v>
      </c>
      <c r="E87" s="1054">
        <f>VLOOKUP($B87,Расходы!$B$10:$O$82,COLUMN(Расходы!E:E)-1,FALSE)</f>
        <v>0</v>
      </c>
      <c r="F87" s="1054">
        <f>VLOOKUP($B87,Расходы!$B$10:$O$82,COLUMN(Расходы!F:F)-1,FALSE)</f>
        <v>0</v>
      </c>
      <c r="G87" s="1054">
        <f>VLOOKUP($B87,Расходы!$B$10:$O$82,COLUMN(Расходы!G:G)-1,FALSE)</f>
        <v>0</v>
      </c>
      <c r="H87" s="1054">
        <f>VLOOKUP($B87,Расходы!$B$10:$O$82,COLUMN(Расходы!H:H)-1,FALSE)</f>
        <v>0</v>
      </c>
      <c r="I87" s="1054">
        <f>VLOOKUP($B87,Расходы!$B$10:$O$82,COLUMN(Расходы!I:I)-1,FALSE)</f>
        <v>0</v>
      </c>
      <c r="J87" s="1054">
        <f>VLOOKUP($B87,Расходы!$B$10:$O$82,COLUMN(Расходы!J:J)-1,FALSE)</f>
        <v>0</v>
      </c>
      <c r="K87" s="955">
        <f>VLOOKUP($B87,Расходы!$B$10:$O$82,COLUMN(Расходы!K:K)-1,FALSE)</f>
        <v>0</v>
      </c>
      <c r="L87" s="955">
        <f>VLOOKUP($B87,Расходы!$B$10:$O$82,COLUMN(Расходы!L:L)-1,FALSE)</f>
        <v>0</v>
      </c>
      <c r="M87" s="955">
        <f>VLOOKUP($B87,Расходы!$B$10:$O$82,COLUMN(Расходы!M:M)-1,FALSE)</f>
        <v>0</v>
      </c>
      <c r="N87" s="955">
        <f>VLOOKUP($B87,Расходы!$B$10:$O$82,COLUMN(Расходы!N:N)-1,FALSE)</f>
        <v>0</v>
      </c>
      <c r="O87" s="956">
        <f>VLOOKUP($B87,Расходы!$B$10:$O$82,COLUMN(Расходы!O:O)-1,FALSE)</f>
        <v>0</v>
      </c>
    </row>
    <row r="88" spans="1:15" s="1" customFormat="1" ht="12.75" hidden="1" outlineLevel="1">
      <c r="A88" s="751"/>
      <c r="B88" s="753" t="s">
        <v>118</v>
      </c>
      <c r="C88" s="473" t="str">
        <f>VLOOKUP(B88,Справочники!$B:$F,3,FALSE)</f>
        <v>Командировочные расходы</v>
      </c>
      <c r="D88" s="1054">
        <f>VLOOKUP($B88,Расходы!$B$10:$O$82,COLUMN(Расходы!D:D)-1,FALSE)</f>
        <v>4000</v>
      </c>
      <c r="E88" s="1054">
        <f>VLOOKUP($B88,Расходы!$B$10:$O$82,COLUMN(Расходы!E:E)-1,FALSE)</f>
        <v>5000</v>
      </c>
      <c r="F88" s="1054">
        <f>VLOOKUP($B88,Расходы!$B$10:$O$82,COLUMN(Расходы!F:F)-1,FALSE)</f>
        <v>9000</v>
      </c>
      <c r="G88" s="1054">
        <f>VLOOKUP($B88,Расходы!$B$10:$O$82,COLUMN(Расходы!G:G)-1,FALSE)</f>
        <v>18000</v>
      </c>
      <c r="H88" s="1054">
        <f>VLOOKUP($B88,Расходы!$B$10:$O$82,COLUMN(Расходы!H:H)-1,FALSE)</f>
        <v>50000</v>
      </c>
      <c r="I88" s="1054">
        <f>VLOOKUP($B88,Расходы!$B$10:$O$82,COLUMN(Расходы!I:I)-1,FALSE)</f>
        <v>55000</v>
      </c>
      <c r="J88" s="1054">
        <f>VLOOKUP($B88,Расходы!$B$10:$O$82,COLUMN(Расходы!J:J)-1,FALSE)</f>
        <v>60500</v>
      </c>
      <c r="K88" s="955">
        <f>VLOOKUP($B88,Расходы!$B$10:$O$82,COLUMN(Расходы!K:K)-1,FALSE)</f>
        <v>66550</v>
      </c>
      <c r="L88" s="955">
        <f>VLOOKUP($B88,Расходы!$B$10:$O$82,COLUMN(Расходы!L:L)-1,FALSE)</f>
        <v>0</v>
      </c>
      <c r="M88" s="955">
        <f>VLOOKUP($B88,Расходы!$B$10:$O$82,COLUMN(Расходы!M:M)-1,FALSE)</f>
        <v>0</v>
      </c>
      <c r="N88" s="955">
        <f>VLOOKUP($B88,Расходы!$B$10:$O$82,COLUMN(Расходы!N:N)-1,FALSE)</f>
        <v>0</v>
      </c>
      <c r="O88" s="956">
        <f>VLOOKUP($B88,Расходы!$B$10:$O$82,COLUMN(Расходы!O:O)-1,FALSE)</f>
        <v>0</v>
      </c>
    </row>
    <row r="89" spans="1:15" s="1" customFormat="1" ht="12.75" hidden="1" outlineLevel="1">
      <c r="A89" s="751"/>
      <c r="B89" s="753" t="s">
        <v>119</v>
      </c>
      <c r="C89" s="473" t="str">
        <f>VLOOKUP(B89,Справочники!$B:$F,3,FALSE)</f>
        <v>Представительские расходы</v>
      </c>
      <c r="D89" s="1054">
        <f>VLOOKUP($B89,Расходы!$B$10:$O$82,COLUMN(Расходы!D:D)-1,FALSE)</f>
        <v>0</v>
      </c>
      <c r="E89" s="1054">
        <f>VLOOKUP($B89,Расходы!$B$10:$O$82,COLUMN(Расходы!E:E)-1,FALSE)</f>
        <v>0</v>
      </c>
      <c r="F89" s="1054">
        <f>VLOOKUP($B89,Расходы!$B$10:$O$82,COLUMN(Расходы!F:F)-1,FALSE)</f>
        <v>0</v>
      </c>
      <c r="G89" s="1054">
        <f>VLOOKUP($B89,Расходы!$B$10:$O$82,COLUMN(Расходы!G:G)-1,FALSE)</f>
        <v>0</v>
      </c>
      <c r="H89" s="1054">
        <f>VLOOKUP($B89,Расходы!$B$10:$O$82,COLUMN(Расходы!H:H)-1,FALSE)</f>
        <v>0</v>
      </c>
      <c r="I89" s="1054">
        <f>VLOOKUP($B89,Расходы!$B$10:$O$82,COLUMN(Расходы!I:I)-1,FALSE)</f>
        <v>0</v>
      </c>
      <c r="J89" s="1054">
        <f>VLOOKUP($B89,Расходы!$B$10:$O$82,COLUMN(Расходы!J:J)-1,FALSE)</f>
        <v>0</v>
      </c>
      <c r="K89" s="955">
        <f>VLOOKUP($B89,Расходы!$B$10:$O$82,COLUMN(Расходы!K:K)-1,FALSE)</f>
        <v>0</v>
      </c>
      <c r="L89" s="955">
        <f>VLOOKUP($B89,Расходы!$B$10:$O$82,COLUMN(Расходы!L:L)-1,FALSE)</f>
        <v>0</v>
      </c>
      <c r="M89" s="955">
        <f>VLOOKUP($B89,Расходы!$B$10:$O$82,COLUMN(Расходы!M:M)-1,FALSE)</f>
        <v>0</v>
      </c>
      <c r="N89" s="955">
        <f>VLOOKUP($B89,Расходы!$B$10:$O$82,COLUMN(Расходы!N:N)-1,FALSE)</f>
        <v>0</v>
      </c>
      <c r="O89" s="956">
        <f>VLOOKUP($B89,Расходы!$B$10:$O$82,COLUMN(Расходы!O:O)-1,FALSE)</f>
        <v>0</v>
      </c>
    </row>
    <row r="90" spans="1:15" s="1" customFormat="1" ht="12.75" hidden="1" outlineLevel="1">
      <c r="A90" s="751"/>
      <c r="B90" s="753" t="s">
        <v>120</v>
      </c>
      <c r="C90" s="473" t="str">
        <f>VLOOKUP(B90,Справочники!$B:$F,3,FALSE)</f>
        <v>Абонентская плата за поддержку ИС</v>
      </c>
      <c r="D90" s="1054">
        <f>VLOOKUP($B90,Расходы!$B$10:$O$82,COLUMN(Расходы!D:D)-1,FALSE)</f>
        <v>0</v>
      </c>
      <c r="E90" s="1054">
        <f>VLOOKUP($B90,Расходы!$B$10:$O$82,COLUMN(Расходы!E:E)-1,FALSE)</f>
        <v>0</v>
      </c>
      <c r="F90" s="1054">
        <f>VLOOKUP($B90,Расходы!$B$10:$O$82,COLUMN(Расходы!F:F)-1,FALSE)</f>
        <v>0</v>
      </c>
      <c r="G90" s="1054">
        <f>VLOOKUP($B90,Расходы!$B$10:$O$82,COLUMN(Расходы!G:G)-1,FALSE)</f>
        <v>0</v>
      </c>
      <c r="H90" s="1054">
        <f>VLOOKUP($B90,Расходы!$B$10:$O$82,COLUMN(Расходы!H:H)-1,FALSE)</f>
        <v>0</v>
      </c>
      <c r="I90" s="1054">
        <f>VLOOKUP($B90,Расходы!$B$10:$O$82,COLUMN(Расходы!I:I)-1,FALSE)</f>
        <v>0</v>
      </c>
      <c r="J90" s="1054">
        <f>VLOOKUP($B90,Расходы!$B$10:$O$82,COLUMN(Расходы!J:J)-1,FALSE)</f>
        <v>0</v>
      </c>
      <c r="K90" s="955">
        <f>VLOOKUP($B90,Расходы!$B$10:$O$82,COLUMN(Расходы!K:K)-1,FALSE)</f>
        <v>0</v>
      </c>
      <c r="L90" s="955">
        <f>VLOOKUP($B90,Расходы!$B$10:$O$82,COLUMN(Расходы!L:L)-1,FALSE)</f>
        <v>0</v>
      </c>
      <c r="M90" s="955">
        <f>VLOOKUP($B90,Расходы!$B$10:$O$82,COLUMN(Расходы!M:M)-1,FALSE)</f>
        <v>0</v>
      </c>
      <c r="N90" s="955">
        <f>VLOOKUP($B90,Расходы!$B$10:$O$82,COLUMN(Расходы!N:N)-1,FALSE)</f>
        <v>0</v>
      </c>
      <c r="O90" s="956">
        <f>VLOOKUP($B90,Расходы!$B$10:$O$82,COLUMN(Расходы!O:O)-1,FALSE)</f>
        <v>0</v>
      </c>
    </row>
    <row r="91" spans="1:15" s="1" customFormat="1" ht="12.75" hidden="1" outlineLevel="1">
      <c r="A91" s="751"/>
      <c r="B91" s="753" t="s">
        <v>121</v>
      </c>
      <c r="C91" s="473" t="str">
        <f>VLOOKUP(B91,Справочники!$B:$F,3,FALSE)</f>
        <v>Компенсация за использование личного транспорта</v>
      </c>
      <c r="D91" s="1054">
        <f>VLOOKUP($B91,Расходы!$B$10:$O$82,COLUMN(Расходы!D:D)-1,FALSE)</f>
        <v>0</v>
      </c>
      <c r="E91" s="1054">
        <f>VLOOKUP($B91,Расходы!$B$10:$O$82,COLUMN(Расходы!E:E)-1,FALSE)</f>
        <v>0</v>
      </c>
      <c r="F91" s="1054">
        <f>VLOOKUP($B91,Расходы!$B$10:$O$82,COLUMN(Расходы!F:F)-1,FALSE)</f>
        <v>0</v>
      </c>
      <c r="G91" s="1054">
        <f>VLOOKUP($B91,Расходы!$B$10:$O$82,COLUMN(Расходы!G:G)-1,FALSE)</f>
        <v>0</v>
      </c>
      <c r="H91" s="1054">
        <f>VLOOKUP($B91,Расходы!$B$10:$O$82,COLUMN(Расходы!H:H)-1,FALSE)</f>
        <v>0</v>
      </c>
      <c r="I91" s="1054">
        <f>VLOOKUP($B91,Расходы!$B$10:$O$82,COLUMN(Расходы!I:I)-1,FALSE)</f>
        <v>0</v>
      </c>
      <c r="J91" s="1054">
        <f>VLOOKUP($B91,Расходы!$B$10:$O$82,COLUMN(Расходы!J:J)-1,FALSE)</f>
        <v>0</v>
      </c>
      <c r="K91" s="955">
        <f>VLOOKUP($B91,Расходы!$B$10:$O$82,COLUMN(Расходы!K:K)-1,FALSE)</f>
        <v>0</v>
      </c>
      <c r="L91" s="955">
        <f>VLOOKUP($B91,Расходы!$B$10:$O$82,COLUMN(Расходы!L:L)-1,FALSE)</f>
        <v>0</v>
      </c>
      <c r="M91" s="955">
        <f>VLOOKUP($B91,Расходы!$B$10:$O$82,COLUMN(Расходы!M:M)-1,FALSE)</f>
        <v>0</v>
      </c>
      <c r="N91" s="955">
        <f>VLOOKUP($B91,Расходы!$B$10:$O$82,COLUMN(Расходы!N:N)-1,FALSE)</f>
        <v>0</v>
      </c>
      <c r="O91" s="956">
        <f>VLOOKUP($B91,Расходы!$B$10:$O$82,COLUMN(Расходы!O:O)-1,FALSE)</f>
        <v>0</v>
      </c>
    </row>
    <row r="92" spans="1:15" s="1" customFormat="1" ht="12.75" hidden="1" outlineLevel="1">
      <c r="A92" s="751"/>
      <c r="B92" s="753" t="s">
        <v>122</v>
      </c>
      <c r="C92" s="473" t="str">
        <f>VLOOKUP(B92,Справочники!$B:$F,3,FALSE)</f>
        <v>Агентские вознаграждения</v>
      </c>
      <c r="D92" s="1054">
        <f>VLOOKUP($B92,Расходы!$B$10:$O$82,COLUMN(Расходы!D:D)-1,FALSE)</f>
        <v>0</v>
      </c>
      <c r="E92" s="1054">
        <f>VLOOKUP($B92,Расходы!$B$10:$O$82,COLUMN(Расходы!E:E)-1,FALSE)</f>
        <v>0</v>
      </c>
      <c r="F92" s="1054">
        <f>VLOOKUP($B92,Расходы!$B$10:$O$82,COLUMN(Расходы!F:F)-1,FALSE)</f>
        <v>0</v>
      </c>
      <c r="G92" s="1054">
        <f>VLOOKUP($B92,Расходы!$B$10:$O$82,COLUMN(Расходы!G:G)-1,FALSE)</f>
        <v>0</v>
      </c>
      <c r="H92" s="1054">
        <f>VLOOKUP($B92,Расходы!$B$10:$O$82,COLUMN(Расходы!H:H)-1,FALSE)</f>
        <v>0</v>
      </c>
      <c r="I92" s="1054">
        <f>VLOOKUP($B92,Расходы!$B$10:$O$82,COLUMN(Расходы!I:I)-1,FALSE)</f>
        <v>0</v>
      </c>
      <c r="J92" s="1054">
        <f>VLOOKUP($B92,Расходы!$B$10:$O$82,COLUMN(Расходы!J:J)-1,FALSE)</f>
        <v>0</v>
      </c>
      <c r="K92" s="955">
        <f>VLOOKUP($B92,Расходы!$B$10:$O$82,COLUMN(Расходы!K:K)-1,FALSE)</f>
        <v>0</v>
      </c>
      <c r="L92" s="955">
        <f>VLOOKUP($B92,Расходы!$B$10:$O$82,COLUMN(Расходы!L:L)-1,FALSE)</f>
        <v>0</v>
      </c>
      <c r="M92" s="955">
        <f>VLOOKUP($B92,Расходы!$B$10:$O$82,COLUMN(Расходы!M:M)-1,FALSE)</f>
        <v>0</v>
      </c>
      <c r="N92" s="955">
        <f>VLOOKUP($B92,Расходы!$B$10:$O$82,COLUMN(Расходы!N:N)-1,FALSE)</f>
        <v>0</v>
      </c>
      <c r="O92" s="956">
        <f>VLOOKUP($B92,Расходы!$B$10:$O$82,COLUMN(Расходы!O:O)-1,FALSE)</f>
        <v>0</v>
      </c>
    </row>
    <row r="93" spans="1:15" s="1" customFormat="1" ht="12.75" hidden="1" outlineLevel="1">
      <c r="A93" s="751"/>
      <c r="B93" s="753" t="s">
        <v>136</v>
      </c>
      <c r="C93" s="473" t="str">
        <f>VLOOKUP(B93,Справочники!$B:$F,3,FALSE)</f>
        <v>Прочие</v>
      </c>
      <c r="D93" s="1054">
        <f>VLOOKUP($B93,Расходы!$B$10:$O$82,COLUMN(Расходы!D:D)-1,FALSE)</f>
        <v>5000</v>
      </c>
      <c r="E93" s="1054">
        <f>VLOOKUP($B93,Расходы!$B$10:$O$82,COLUMN(Расходы!E:E)-1,FALSE)</f>
        <v>5000</v>
      </c>
      <c r="F93" s="1054">
        <f>VLOOKUP($B93,Расходы!$B$10:$O$82,COLUMN(Расходы!F:F)-1,FALSE)</f>
        <v>5000</v>
      </c>
      <c r="G93" s="1054">
        <f>VLOOKUP($B93,Расходы!$B$10:$O$82,COLUMN(Расходы!G:G)-1,FALSE)</f>
        <v>5000</v>
      </c>
      <c r="H93" s="1054">
        <f>VLOOKUP($B93,Расходы!$B$10:$O$82,COLUMN(Расходы!H:H)-1,FALSE)</f>
        <v>40000</v>
      </c>
      <c r="I93" s="1054">
        <f>VLOOKUP($B93,Расходы!$B$10:$O$82,COLUMN(Расходы!I:I)-1,FALSE)</f>
        <v>45000</v>
      </c>
      <c r="J93" s="1054">
        <f>VLOOKUP($B93,Расходы!$B$10:$O$82,COLUMN(Расходы!J:J)-1,FALSE)</f>
        <v>50000</v>
      </c>
      <c r="K93" s="955">
        <f>VLOOKUP($B93,Расходы!$B$10:$O$82,COLUMN(Расходы!K:K)-1,FALSE)</f>
        <v>0</v>
      </c>
      <c r="L93" s="955">
        <f>VLOOKUP($B93,Расходы!$B$10:$O$82,COLUMN(Расходы!L:L)-1,FALSE)</f>
        <v>0</v>
      </c>
      <c r="M93" s="955">
        <f>VLOOKUP($B93,Расходы!$B$10:$O$82,COLUMN(Расходы!M:M)-1,FALSE)</f>
        <v>0</v>
      </c>
      <c r="N93" s="955">
        <f>VLOOKUP($B93,Расходы!$B$10:$O$82,COLUMN(Расходы!N:N)-1,FALSE)</f>
        <v>0</v>
      </c>
      <c r="O93" s="956">
        <f>VLOOKUP($B93,Расходы!$B$10:$O$82,COLUMN(Расходы!O:O)-1,FALSE)</f>
        <v>0</v>
      </c>
    </row>
    <row r="94" spans="1:15" s="336" customFormat="1" ht="12.75">
      <c r="A94" s="752"/>
      <c r="B94" s="745"/>
      <c r="C94" s="476" t="s">
        <v>330</v>
      </c>
      <c r="D94" s="1056">
        <f>D30-D31</f>
        <v>-36223.27685613127</v>
      </c>
      <c r="E94" s="1056">
        <f aca="true" t="shared" si="9" ref="E94:O94">E30-E31</f>
        <v>61868.245933678845</v>
      </c>
      <c r="F94" s="1056">
        <f t="shared" si="9"/>
        <v>7155.087056822114</v>
      </c>
      <c r="G94" s="1056">
        <f t="shared" si="9"/>
        <v>-12228.84185889468</v>
      </c>
      <c r="H94" s="1056">
        <f t="shared" si="9"/>
        <v>2325756.786620016</v>
      </c>
      <c r="I94" s="1056">
        <f t="shared" si="9"/>
        <v>8487888.85795189</v>
      </c>
      <c r="J94" s="1056">
        <f t="shared" si="9"/>
        <v>16172721.489297895</v>
      </c>
      <c r="K94" s="630">
        <f t="shared" si="9"/>
        <v>-1346363.7190609102</v>
      </c>
      <c r="L94" s="630">
        <f t="shared" si="9"/>
        <v>-147120.78077988204</v>
      </c>
      <c r="M94" s="630">
        <f t="shared" si="9"/>
        <v>-151409.94518246976</v>
      </c>
      <c r="N94" s="630">
        <f t="shared" si="9"/>
        <v>-150546.56721217616</v>
      </c>
      <c r="O94" s="874">
        <f t="shared" si="9"/>
        <v>-149683.18924188256</v>
      </c>
    </row>
    <row r="95" spans="1:15" s="336" customFormat="1" ht="12.75">
      <c r="A95" s="752"/>
      <c r="B95" s="745"/>
      <c r="C95" s="476" t="s">
        <v>94</v>
      </c>
      <c r="D95" s="1056">
        <f aca="true" t="shared" si="10" ref="D95:O95">D94/D9*100</f>
        <v>-4.655349808010702</v>
      </c>
      <c r="E95" s="1056">
        <f t="shared" si="10"/>
        <v>5.746810471592919</v>
      </c>
      <c r="F95" s="1056">
        <f t="shared" si="10"/>
        <v>0.629904662102484</v>
      </c>
      <c r="G95" s="1056">
        <f t="shared" si="10"/>
        <v>-1.0134959273076976</v>
      </c>
      <c r="H95" s="1056">
        <f t="shared" si="10"/>
        <v>22.617380980811102</v>
      </c>
      <c r="I95" s="1056">
        <f t="shared" si="10"/>
        <v>38.137066118798096</v>
      </c>
      <c r="J95" s="1056">
        <f t="shared" si="10"/>
        <v>43.98813239298247</v>
      </c>
      <c r="K95" s="630">
        <f t="shared" si="10"/>
        <v>-167.23254615703937</v>
      </c>
      <c r="L95" s="630">
        <f t="shared" si="10"/>
        <v>-28.553046269779735</v>
      </c>
      <c r="M95" s="630" t="e">
        <f t="shared" si="10"/>
        <v>#DIV/0!</v>
      </c>
      <c r="N95" s="630" t="e">
        <f t="shared" si="10"/>
        <v>#DIV/0!</v>
      </c>
      <c r="O95" s="874" t="e">
        <f t="shared" si="10"/>
        <v>#DIV/0!</v>
      </c>
    </row>
    <row r="96" spans="2:15" ht="12.75">
      <c r="B96" s="746" t="s">
        <v>480</v>
      </c>
      <c r="C96" s="240" t="str">
        <f>VLOOKUP(B96,Справочники!$B:$F,3,FALSE)</f>
        <v>НЕОПЕРАЦИОННЫЕ ДОХОДЫ</v>
      </c>
      <c r="D96" s="1058">
        <f aca="true" t="shared" si="11" ref="D96:O96">SUM(D97:D98)</f>
        <v>0</v>
      </c>
      <c r="E96" s="1058">
        <f t="shared" si="11"/>
        <v>0</v>
      </c>
      <c r="F96" s="1058">
        <f t="shared" si="11"/>
        <v>0</v>
      </c>
      <c r="G96" s="1058">
        <f t="shared" si="11"/>
        <v>0</v>
      </c>
      <c r="H96" s="1058">
        <f t="shared" si="11"/>
        <v>0</v>
      </c>
      <c r="I96" s="1058">
        <f t="shared" si="11"/>
        <v>0</v>
      </c>
      <c r="J96" s="1058">
        <f t="shared" si="11"/>
        <v>0</v>
      </c>
      <c r="K96" s="633">
        <f t="shared" si="11"/>
        <v>0</v>
      </c>
      <c r="L96" s="633">
        <f t="shared" si="11"/>
        <v>0</v>
      </c>
      <c r="M96" s="633">
        <f t="shared" si="11"/>
        <v>0</v>
      </c>
      <c r="N96" s="633">
        <f t="shared" si="11"/>
        <v>0</v>
      </c>
      <c r="O96" s="879">
        <f t="shared" si="11"/>
        <v>0</v>
      </c>
    </row>
    <row r="97" spans="2:15" ht="12.75">
      <c r="B97" s="747" t="s">
        <v>482</v>
      </c>
      <c r="C97" s="247" t="str">
        <f>VLOOKUP(B97,Справочники!$B:$F,3,FALSE)</f>
        <v>Реализация (выбытие) активов</v>
      </c>
      <c r="D97" s="1059">
        <f>VLOOKUP($B97,'Неопер. ДиР'!$A:$O,COLUMN('Неопер. ДиР'!E:E)-1,FALSE)</f>
        <v>0</v>
      </c>
      <c r="E97" s="1059">
        <f>VLOOKUP($B97,'Неопер. ДиР'!$A:$O,COLUMN('Неопер. ДиР'!F:F)-1,FALSE)</f>
        <v>0</v>
      </c>
      <c r="F97" s="1059">
        <f>VLOOKUP($B97,'Неопер. ДиР'!$A:$O,COLUMN('Неопер. ДиР'!G:G)-1,FALSE)</f>
        <v>0</v>
      </c>
      <c r="G97" s="1059">
        <f>VLOOKUP($B97,'Неопер. ДиР'!$A:$O,COLUMN('Неопер. ДиР'!H:H)-1,FALSE)</f>
        <v>0</v>
      </c>
      <c r="H97" s="1059">
        <f>VLOOKUP($B97,'Неопер. ДиР'!$A:$O,COLUMN('Неопер. ДиР'!I:I)-1,FALSE)</f>
        <v>0</v>
      </c>
      <c r="I97" s="1059">
        <f>VLOOKUP($B97,'Неопер. ДиР'!$A:$O,COLUMN('Неопер. ДиР'!J:J)-1,FALSE)</f>
        <v>0</v>
      </c>
      <c r="J97" s="1059">
        <f>VLOOKUP($B97,'Неопер. ДиР'!$A:$O,COLUMN('Неопер. ДиР'!K:K)-1,FALSE)</f>
        <v>0</v>
      </c>
      <c r="K97" s="631">
        <f>VLOOKUP($B97,'Неопер. ДиР'!$A:$O,COLUMN('Неопер. ДиР'!L:L)-1,FALSE)</f>
        <v>0</v>
      </c>
      <c r="L97" s="631">
        <f>VLOOKUP($B97,'Неопер. ДиР'!$A:$O,COLUMN('Неопер. ДиР'!M:M)-1,FALSE)</f>
        <v>0</v>
      </c>
      <c r="M97" s="631">
        <f>VLOOKUP($B97,'Неопер. ДиР'!$A:$O,COLUMN('Неопер. ДиР'!N:N)-1,FALSE)</f>
        <v>0</v>
      </c>
      <c r="N97" s="631">
        <f>VLOOKUP($B97,'Неопер. ДиР'!$A:$O,COLUMN('Неопер. ДиР'!O:O)-1,FALSE)</f>
        <v>0</v>
      </c>
      <c r="O97" s="880">
        <f>VLOOKUP($B97,'Неопер. ДиР'!$A:$O,COLUMN('Неопер. ДиР'!P:P)-1,FALSE)</f>
        <v>0</v>
      </c>
    </row>
    <row r="98" spans="2:15" ht="12.75">
      <c r="B98" s="747" t="s">
        <v>358</v>
      </c>
      <c r="C98" s="247" t="str">
        <f>VLOOKUP(B98,Справочники!$B:$F,3,FALSE)</f>
        <v>Проценты по депозитам начисленные</v>
      </c>
      <c r="D98" s="1059">
        <f>VLOOKUP($B98,'Неопер. ДиР'!$A:$O,COLUMN('Неопер. ДиР'!E:E)-1,FALSE)</f>
        <v>0</v>
      </c>
      <c r="E98" s="1059">
        <f>VLOOKUP($B98,'Неопер. ДиР'!$A:$O,COLUMN('Неопер. ДиР'!F:F)-1,FALSE)</f>
        <v>0</v>
      </c>
      <c r="F98" s="1059">
        <f>VLOOKUP($B98,'Неопер. ДиР'!$A:$O,COLUMN('Неопер. ДиР'!G:G)-1,FALSE)</f>
        <v>0</v>
      </c>
      <c r="G98" s="1059">
        <f>VLOOKUP($B98,'Неопер. ДиР'!$A:$O,COLUMN('Неопер. ДиР'!H:H)-1,FALSE)</f>
        <v>0</v>
      </c>
      <c r="H98" s="1059">
        <f>VLOOKUP($B98,'Неопер. ДиР'!$A:$O,COLUMN('Неопер. ДиР'!I:I)-1,FALSE)</f>
        <v>0</v>
      </c>
      <c r="I98" s="1059">
        <f>VLOOKUP($B98,'Неопер. ДиР'!$A:$O,COLUMN('Неопер. ДиР'!J:J)-1,FALSE)</f>
        <v>0</v>
      </c>
      <c r="J98" s="1059">
        <f>VLOOKUP($B98,'Неопер. ДиР'!$A:$O,COLUMN('Неопер. ДиР'!K:K)-1,FALSE)</f>
        <v>0</v>
      </c>
      <c r="K98" s="631">
        <f>VLOOKUP($B98,'Неопер. ДиР'!$A:$O,COLUMN('Неопер. ДиР'!L:L)-1,FALSE)</f>
        <v>0</v>
      </c>
      <c r="L98" s="631">
        <f>VLOOKUP($B98,'Неопер. ДиР'!$A:$O,COLUMN('Неопер. ДиР'!M:M)-1,FALSE)</f>
        <v>0</v>
      </c>
      <c r="M98" s="631">
        <f>VLOOKUP($B98,'Неопер. ДиР'!$A:$O,COLUMN('Неопер. ДиР'!N:N)-1,FALSE)</f>
        <v>0</v>
      </c>
      <c r="N98" s="631">
        <f>VLOOKUP($B98,'Неопер. ДиР'!$A:$O,COLUMN('Неопер. ДиР'!O:O)-1,FALSE)</f>
        <v>0</v>
      </c>
      <c r="O98" s="880">
        <f>VLOOKUP($B98,'Неопер. ДиР'!$A:$O,COLUMN('Неопер. ДиР'!P:P)-1,FALSE)</f>
        <v>0</v>
      </c>
    </row>
    <row r="99" spans="2:15" ht="12.75">
      <c r="B99" s="748" t="s">
        <v>0</v>
      </c>
      <c r="C99" s="79" t="str">
        <f>VLOOKUP(B99,Справочники!$B:$F,3,FALSE)</f>
        <v>НЕОПЕРАЦИОННЫЕ РАСХОДЫ</v>
      </c>
      <c r="D99" s="1060">
        <f aca="true" t="shared" si="12" ref="D99:O99">SUM(D100)</f>
        <v>0</v>
      </c>
      <c r="E99" s="1060">
        <f t="shared" si="12"/>
        <v>0</v>
      </c>
      <c r="F99" s="1060">
        <f t="shared" si="12"/>
        <v>0</v>
      </c>
      <c r="G99" s="1060">
        <f t="shared" si="12"/>
        <v>0</v>
      </c>
      <c r="H99" s="1060">
        <f t="shared" si="12"/>
        <v>0</v>
      </c>
      <c r="I99" s="1060">
        <f t="shared" si="12"/>
        <v>0</v>
      </c>
      <c r="J99" s="1060">
        <f t="shared" si="12"/>
        <v>0</v>
      </c>
      <c r="K99" s="632">
        <f t="shared" si="12"/>
        <v>0</v>
      </c>
      <c r="L99" s="632">
        <f t="shared" si="12"/>
        <v>0</v>
      </c>
      <c r="M99" s="632">
        <f t="shared" si="12"/>
        <v>0</v>
      </c>
      <c r="N99" s="632">
        <f t="shared" si="12"/>
        <v>0</v>
      </c>
      <c r="O99" s="881">
        <f t="shared" si="12"/>
        <v>0</v>
      </c>
    </row>
    <row r="100" spans="2:15" ht="12.75">
      <c r="B100" s="747" t="s">
        <v>1</v>
      </c>
      <c r="C100" s="247" t="str">
        <f>VLOOKUP(B100,Справочники!$B:$F,3,FALSE)</f>
        <v>Расходы от реализации (выбытия) активов</v>
      </c>
      <c r="D100" s="1059">
        <f>VLOOKUP($B100,'Неопер. ДиР'!$A:$O,COLUMN('Неопер. ДиР'!E:E)-1,FALSE)</f>
        <v>0</v>
      </c>
      <c r="E100" s="1059">
        <f>VLOOKUP($B100,'Неопер. ДиР'!$A:$O,COLUMN('Неопер. ДиР'!F:F)-1,FALSE)</f>
        <v>0</v>
      </c>
      <c r="F100" s="1059">
        <f>VLOOKUP($B100,'Неопер. ДиР'!$A:$O,COLUMN('Неопер. ДиР'!G:G)-1,FALSE)</f>
        <v>0</v>
      </c>
      <c r="G100" s="1059">
        <f>VLOOKUP($B100,'Неопер. ДиР'!$A:$O,COLUMN('Неопер. ДиР'!H:H)-1,FALSE)</f>
        <v>0</v>
      </c>
      <c r="H100" s="1059">
        <f>VLOOKUP($B100,'Неопер. ДиР'!$A:$O,COLUMN('Неопер. ДиР'!I:I)-1,FALSE)</f>
        <v>0</v>
      </c>
      <c r="I100" s="1059">
        <f>VLOOKUP($B100,'Неопер. ДиР'!$A:$O,COLUMN('Неопер. ДиР'!J:J)-1,FALSE)</f>
        <v>0</v>
      </c>
      <c r="J100" s="1059">
        <f>VLOOKUP($B100,'Неопер. ДиР'!$A:$O,COLUMN('Неопер. ДиР'!K:K)-1,FALSE)</f>
        <v>0</v>
      </c>
      <c r="K100" s="631">
        <f>VLOOKUP($B100,'Неопер. ДиР'!$A:$O,COLUMN('Неопер. ДиР'!L:L)-1,FALSE)</f>
        <v>0</v>
      </c>
      <c r="L100" s="631">
        <f>VLOOKUP($B100,'Неопер. ДиР'!$A:$O,COLUMN('Неопер. ДиР'!M:M)-1,FALSE)</f>
        <v>0</v>
      </c>
      <c r="M100" s="631">
        <f>VLOOKUP($B100,'Неопер. ДиР'!$A:$O,COLUMN('Неопер. ДиР'!N:N)-1,FALSE)</f>
        <v>0</v>
      </c>
      <c r="N100" s="631">
        <f>VLOOKUP($B100,'Неопер. ДиР'!$A:$O,COLUMN('Неопер. ДиР'!O:O)-1,FALSE)</f>
        <v>0</v>
      </c>
      <c r="O100" s="880">
        <f>VLOOKUP($B100,'Неопер. ДиР'!$A:$O,COLUMN('Неопер. ДиР'!P:P)-1,FALSE)</f>
        <v>0</v>
      </c>
    </row>
    <row r="101" spans="2:15" ht="12.75">
      <c r="B101" s="744" t="s">
        <v>107</v>
      </c>
      <c r="C101" s="472" t="str">
        <f>VLOOKUP(B101,Справочники!$B:$F,3,FALSE)</f>
        <v>Расходы на финансирование</v>
      </c>
      <c r="D101" s="1060">
        <f>SUM(D102:D104)</f>
        <v>2674</v>
      </c>
      <c r="E101" s="1060">
        <f aca="true" t="shared" si="13" ref="E101:O101">SUM(E102:E104)</f>
        <v>2062.5074999999997</v>
      </c>
      <c r="F101" s="1060">
        <f t="shared" si="13"/>
        <v>1374.8608299999999</v>
      </c>
      <c r="G101" s="1060">
        <f t="shared" si="13"/>
        <v>687.95519</v>
      </c>
      <c r="H101" s="1060">
        <f t="shared" si="13"/>
        <v>23313</v>
      </c>
      <c r="I101" s="1060">
        <f t="shared" si="13"/>
        <v>10312.5</v>
      </c>
      <c r="J101" s="1060">
        <f t="shared" si="13"/>
        <v>0</v>
      </c>
      <c r="K101" s="632">
        <f t="shared" si="13"/>
        <v>0</v>
      </c>
      <c r="L101" s="632">
        <f t="shared" si="13"/>
        <v>0</v>
      </c>
      <c r="M101" s="632">
        <f t="shared" si="13"/>
        <v>0</v>
      </c>
      <c r="N101" s="632">
        <f t="shared" si="13"/>
        <v>0</v>
      </c>
      <c r="O101" s="881">
        <f t="shared" si="13"/>
        <v>0</v>
      </c>
    </row>
    <row r="102" spans="2:15" ht="12.75">
      <c r="B102" s="753" t="s">
        <v>108</v>
      </c>
      <c r="C102" s="740" t="str">
        <f>VLOOKUP(B102,Справочники!$B:$F,3,FALSE)</f>
        <v>Проценты по долгосрочным кредитам банков начисленные</v>
      </c>
      <c r="D102" s="1061">
        <f>VLOOKUP($B102,Расходы!$B$10:$O$82,COLUMN(Расходы!D:D)-1,FALSE)</f>
        <v>0</v>
      </c>
      <c r="E102" s="1061">
        <f>VLOOKUP($B102,Расходы!$B$10:$O$82,COLUMN(Расходы!E:E)-1,FALSE)</f>
        <v>0</v>
      </c>
      <c r="F102" s="1061">
        <f>VLOOKUP($B102,Расходы!$B$10:$O$82,COLUMN(Расходы!F:F)-1,FALSE)</f>
        <v>0</v>
      </c>
      <c r="G102" s="1061">
        <f>VLOOKUP($B102,Расходы!$B$10:$O$82,COLUMN(Расходы!G:G)-1,FALSE)</f>
        <v>0</v>
      </c>
      <c r="H102" s="1061">
        <f>VLOOKUP($B102,Расходы!$B$10:$O$82,COLUMN(Расходы!H:H)-1,FALSE)</f>
        <v>0</v>
      </c>
      <c r="I102" s="1061">
        <f>VLOOKUP($B102,Расходы!$B$10:$O$82,COLUMN(Расходы!I:I)-1,FALSE)</f>
        <v>0</v>
      </c>
      <c r="J102" s="1061">
        <f>VLOOKUP($B102,Расходы!$B$10:$O$82,COLUMN(Расходы!J:J)-1,FALSE)</f>
        <v>0</v>
      </c>
      <c r="K102" s="594">
        <f>VLOOKUP($B102,Расходы!$B$10:$O$82,COLUMN(Расходы!K:K)-1,FALSE)</f>
        <v>0</v>
      </c>
      <c r="L102" s="594">
        <f>VLOOKUP($B102,Расходы!$B$10:$O$82,COLUMN(Расходы!L:L)-1,FALSE)</f>
        <v>0</v>
      </c>
      <c r="M102" s="594">
        <f>VLOOKUP($B102,Расходы!$B$10:$O$82,COLUMN(Расходы!M:M)-1,FALSE)</f>
        <v>0</v>
      </c>
      <c r="N102" s="594">
        <f>VLOOKUP($B102,Расходы!$B$10:$O$82,COLUMN(Расходы!N:N)-1,FALSE)</f>
        <v>0</v>
      </c>
      <c r="O102" s="882">
        <f>VLOOKUP($B102,Расходы!$B$10:$O$82,COLUMN(Расходы!O:O)-1,FALSE)</f>
        <v>0</v>
      </c>
    </row>
    <row r="103" spans="2:15" ht="12.75">
      <c r="B103" s="753" t="s">
        <v>109</v>
      </c>
      <c r="C103" s="740" t="str">
        <f>VLOOKUP(B103,Справочники!$B:$F,3,FALSE)</f>
        <v>Проценты по краткосрочным кредитам банков начисленные</v>
      </c>
      <c r="D103" s="1061">
        <f>VLOOKUP($B103,Расходы!$B$10:$O$82,COLUMN(Расходы!D:D)-1,FALSE)</f>
        <v>2674</v>
      </c>
      <c r="E103" s="1061">
        <f>VLOOKUP($B103,Расходы!$B$10:$O$82,COLUMN(Расходы!E:E)-1,FALSE)</f>
        <v>2062.5074999999997</v>
      </c>
      <c r="F103" s="1061">
        <f>VLOOKUP($B103,Расходы!$B$10:$O$82,COLUMN(Расходы!F:F)-1,FALSE)</f>
        <v>1374.8608299999999</v>
      </c>
      <c r="G103" s="1061">
        <f>VLOOKUP($B103,Расходы!$B$10:$O$82,COLUMN(Расходы!G:G)-1,FALSE)</f>
        <v>687.95519</v>
      </c>
      <c r="H103" s="1061">
        <f>VLOOKUP($B103,Расходы!$B$10:$O$82,COLUMN(Расходы!H:H)-1,FALSE)</f>
        <v>23313</v>
      </c>
      <c r="I103" s="1061">
        <f>VLOOKUP($B103,Расходы!$B$10:$O$82,COLUMN(Расходы!I:I)-1,FALSE)</f>
        <v>10312.5</v>
      </c>
      <c r="J103" s="1061">
        <f>VLOOKUP($B103,Расходы!$B$10:$O$82,COLUMN(Расходы!J:J)-1,FALSE)</f>
        <v>0</v>
      </c>
      <c r="K103" s="594">
        <f>VLOOKUP($B103,Расходы!$B$10:$O$82,COLUMN(Расходы!K:K)-1,FALSE)</f>
        <v>0</v>
      </c>
      <c r="L103" s="594">
        <f>VLOOKUP($B103,Расходы!$B$10:$O$82,COLUMN(Расходы!L:L)-1,FALSE)</f>
        <v>0</v>
      </c>
      <c r="M103" s="594">
        <f>VLOOKUP($B103,Расходы!$B$10:$O$82,COLUMN(Расходы!M:M)-1,FALSE)</f>
        <v>0</v>
      </c>
      <c r="N103" s="594">
        <f>VLOOKUP($B103,Расходы!$B$10:$O$82,COLUMN(Расходы!N:N)-1,FALSE)</f>
        <v>0</v>
      </c>
      <c r="O103" s="882">
        <f>VLOOKUP($B103,Расходы!$B$10:$O$82,COLUMN(Расходы!O:O)-1,FALSE)</f>
        <v>0</v>
      </c>
    </row>
    <row r="104" spans="2:15" ht="12.75">
      <c r="B104" s="753" t="s">
        <v>525</v>
      </c>
      <c r="C104" s="740" t="str">
        <f>VLOOKUP(B104,Справочники!$B:$F,3,FALSE)</f>
        <v>Проценты по займам начисленные</v>
      </c>
      <c r="D104" s="1061">
        <f>VLOOKUP($B104,Расходы!$B$10:$O$82,COLUMN(Расходы!D:D)-1,FALSE)</f>
        <v>0</v>
      </c>
      <c r="E104" s="1061">
        <f>VLOOKUP($B104,Расходы!$B$10:$O$82,COLUMN(Расходы!E:E)-1,FALSE)</f>
        <v>0</v>
      </c>
      <c r="F104" s="1061">
        <f>VLOOKUP($B104,Расходы!$B$10:$O$82,COLUMN(Расходы!F:F)-1,FALSE)</f>
        <v>0</v>
      </c>
      <c r="G104" s="1061">
        <f>VLOOKUP($B104,Расходы!$B$10:$O$82,COLUMN(Расходы!G:G)-1,FALSE)</f>
        <v>0</v>
      </c>
      <c r="H104" s="1061">
        <f>VLOOKUP($B104,Расходы!$B$10:$O$82,COLUMN(Расходы!H:H)-1,FALSE)</f>
        <v>0</v>
      </c>
      <c r="I104" s="1061">
        <f>VLOOKUP($B104,Расходы!$B$10:$O$82,COLUMN(Расходы!I:I)-1,FALSE)</f>
        <v>0</v>
      </c>
      <c r="J104" s="1061">
        <f>VLOOKUP($B104,Расходы!$B$10:$O$82,COLUMN(Расходы!J:J)-1,FALSE)</f>
        <v>0</v>
      </c>
      <c r="K104" s="594">
        <f>VLOOKUP($B104,Расходы!$B$10:$O$82,COLUMN(Расходы!K:K)-1,FALSE)</f>
        <v>0</v>
      </c>
      <c r="L104" s="594">
        <f>VLOOKUP($B104,Расходы!$B$10:$O$82,COLUMN(Расходы!L:L)-1,FALSE)</f>
        <v>0</v>
      </c>
      <c r="M104" s="594">
        <f>VLOOKUP($B104,Расходы!$B$10:$O$82,COLUMN(Расходы!M:M)-1,FALSE)</f>
        <v>0</v>
      </c>
      <c r="N104" s="594">
        <f>VLOOKUP($B104,Расходы!$B$10:$O$82,COLUMN(Расходы!N:N)-1,FALSE)</f>
        <v>0</v>
      </c>
      <c r="O104" s="882">
        <f>VLOOKUP($B104,Расходы!$B$10:$O$82,COLUMN(Расходы!O:O)-1,FALSE)</f>
        <v>0</v>
      </c>
    </row>
    <row r="105" spans="2:15" ht="12.75">
      <c r="B105" s="886"/>
      <c r="C105" s="884" t="s">
        <v>390</v>
      </c>
      <c r="D105" s="1062">
        <f>D94+D96-D99-D101</f>
        <v>-38897.27685613127</v>
      </c>
      <c r="E105" s="1062">
        <f aca="true" t="shared" si="14" ref="E105:O105">E94+E96-E99-E101</f>
        <v>59805.738433678845</v>
      </c>
      <c r="F105" s="1062">
        <f t="shared" si="14"/>
        <v>5780.226226822115</v>
      </c>
      <c r="G105" s="1062">
        <f t="shared" si="14"/>
        <v>-12916.797048894681</v>
      </c>
      <c r="H105" s="1062">
        <f t="shared" si="14"/>
        <v>2302443.786620016</v>
      </c>
      <c r="I105" s="1062">
        <f t="shared" si="14"/>
        <v>8477576.35795189</v>
      </c>
      <c r="J105" s="1062">
        <f t="shared" si="14"/>
        <v>16172721.489297895</v>
      </c>
      <c r="K105" s="874">
        <f t="shared" si="14"/>
        <v>-1346363.7190609102</v>
      </c>
      <c r="L105" s="874">
        <f t="shared" si="14"/>
        <v>-147120.78077988204</v>
      </c>
      <c r="M105" s="874">
        <f t="shared" si="14"/>
        <v>-151409.94518246976</v>
      </c>
      <c r="N105" s="874">
        <f t="shared" si="14"/>
        <v>-150546.56721217616</v>
      </c>
      <c r="O105" s="874">
        <f t="shared" si="14"/>
        <v>-149683.18924188256</v>
      </c>
    </row>
    <row r="106" spans="2:15" ht="12.75">
      <c r="B106" s="747" t="s">
        <v>105</v>
      </c>
      <c r="C106" s="885" t="str">
        <f>VLOOKUP(B106,Справочники!$B:$F,3,FALSE)</f>
        <v>Налог на прибыль</v>
      </c>
      <c r="D106" s="1063">
        <f>VLOOKUP($B106,Расходы!$B$10:$O$82,COLUMN(Расходы!D:D)-1,FALSE)</f>
        <v>0</v>
      </c>
      <c r="E106" s="1063">
        <f>VLOOKUP($B106,Расходы!$B$10:$O$82,COLUMN(Расходы!E:E)-1,FALSE)</f>
        <v>5018.030778611418</v>
      </c>
      <c r="F106" s="1063">
        <f>VLOOKUP($B106,Расходы!$B$10:$O$82,COLUMN(Расходы!F:F)-1,FALSE)</f>
        <v>1387.254294437308</v>
      </c>
      <c r="G106" s="1063">
        <f>VLOOKUP($B106,Расходы!$B$10:$O$82,COLUMN(Расходы!G:G)-1,FALSE)</f>
        <v>-3100.0312917347237</v>
      </c>
      <c r="H106" s="875">
        <f>VLOOKUP($B106,Расходы!$B$10:$O$82,COLUMN(Расходы!H:H)-1,FALSE)</f>
        <v>552586.5087888038</v>
      </c>
      <c r="I106" s="875">
        <f>VLOOKUP($B106,Расходы!$B$10:$O$82,COLUMN(Расходы!I:I)-1,FALSE)</f>
        <v>2034618.325908454</v>
      </c>
      <c r="J106" s="1063">
        <f>VLOOKUP($B106,Расходы!$B$10:$O$82,COLUMN(Расходы!J:J)-1,FALSE)</f>
        <v>3881453.1574314954</v>
      </c>
      <c r="K106" s="875">
        <f>VLOOKUP($B106,Расходы!$B$10:$O$82,COLUMN(Расходы!K:K)-1,FALSE)</f>
        <v>-323127.29257461894</v>
      </c>
      <c r="L106" s="875">
        <f>VLOOKUP($B106,Расходы!$B$10:$O$82,COLUMN(Расходы!L:L)-1,FALSE)</f>
        <v>-35308.98738717195</v>
      </c>
      <c r="M106" s="875">
        <f>VLOOKUP($B106,Расходы!$B$10:$O$82,COLUMN(Расходы!M:M)-1,FALSE)</f>
        <v>-36338.38684379216</v>
      </c>
      <c r="N106" s="875">
        <f>VLOOKUP($B106,Расходы!$B$10:$O$82,COLUMN(Расходы!N:N)-1,FALSE)</f>
        <v>-36131.17613092251</v>
      </c>
      <c r="O106" s="875">
        <f>VLOOKUP($B106,Расходы!$B$10:$O$82,COLUMN(Расходы!O:O)-1,FALSE)</f>
        <v>-35923.965418051</v>
      </c>
    </row>
    <row r="107" spans="2:15" ht="12.75">
      <c r="B107" s="749"/>
      <c r="C107" s="264" t="s">
        <v>329</v>
      </c>
      <c r="D107" s="1064">
        <f aca="true" t="shared" si="15" ref="D107:O107">D105-D106</f>
        <v>-38897.27685613127</v>
      </c>
      <c r="E107" s="1064">
        <f t="shared" si="15"/>
        <v>54787.707655067425</v>
      </c>
      <c r="F107" s="1064">
        <f t="shared" si="15"/>
        <v>4392.971932384807</v>
      </c>
      <c r="G107" s="1064">
        <f t="shared" si="15"/>
        <v>-9816.765757159958</v>
      </c>
      <c r="H107" s="1064">
        <f t="shared" si="15"/>
        <v>1749857.2778312124</v>
      </c>
      <c r="I107" s="1064">
        <f t="shared" si="15"/>
        <v>6442958.032043437</v>
      </c>
      <c r="J107" s="1064">
        <f t="shared" si="15"/>
        <v>12291268.331866398</v>
      </c>
      <c r="K107" s="595">
        <f t="shared" si="15"/>
        <v>-1023236.4264862912</v>
      </c>
      <c r="L107" s="595">
        <f t="shared" si="15"/>
        <v>-111811.7933927101</v>
      </c>
      <c r="M107" s="595">
        <f t="shared" si="15"/>
        <v>-115071.5583386776</v>
      </c>
      <c r="N107" s="595">
        <f t="shared" si="15"/>
        <v>-114415.39108125365</v>
      </c>
      <c r="O107" s="883">
        <f t="shared" si="15"/>
        <v>-113759.22382383156</v>
      </c>
    </row>
  </sheetData>
  <sheetProtection/>
  <mergeCells count="12">
    <mergeCell ref="O6:O7"/>
    <mergeCell ref="H6:H7"/>
    <mergeCell ref="I6:I7"/>
    <mergeCell ref="J6:J7"/>
    <mergeCell ref="K6:K7"/>
    <mergeCell ref="L6:L7"/>
    <mergeCell ref="M6:M7"/>
    <mergeCell ref="N6:N7"/>
    <mergeCell ref="A6:A7"/>
    <mergeCell ref="B6:B7"/>
    <mergeCell ref="C6:C7"/>
    <mergeCell ref="D6:G6"/>
  </mergeCells>
  <hyperlinks>
    <hyperlink ref="B1" location="Содержание!A1" display="Вернуться к содержанию"/>
  </hyperlinks>
  <printOptions/>
  <pageMargins left="0.39" right="0.26" top="0.27" bottom="0.36" header="0.17" footer="0.17"/>
  <pageSetup horizontalDpi="600" verticalDpi="600" orientation="portrait" paperSize="9" scale="60" r:id="rId1"/>
  <ignoredErrors>
    <ignoredError sqref="D77 E77:O77 D99:O99 D105:O10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39"/>
  <sheetViews>
    <sheetView zoomScale="90" zoomScaleNormal="90" zoomScalePageLayoutView="0" workbookViewId="0" topLeftCell="A1">
      <pane xSplit="3" ySplit="9" topLeftCell="D2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30" sqref="B30"/>
    </sheetView>
  </sheetViews>
  <sheetFormatPr defaultColWidth="9.00390625" defaultRowHeight="12.75" outlineLevelRow="1"/>
  <cols>
    <col min="1" max="1" width="6.875" style="2" customWidth="1"/>
    <col min="2" max="2" width="52.625" style="2" customWidth="1"/>
    <col min="3" max="3" width="11.625" style="2" bestFit="1" customWidth="1"/>
    <col min="4" max="7" width="12.625" style="2" bestFit="1" customWidth="1"/>
    <col min="8" max="9" width="13.375" style="2" bestFit="1" customWidth="1"/>
    <col min="10" max="14" width="12.625" style="2" bestFit="1" customWidth="1"/>
    <col min="15" max="15" width="13.75390625" style="2" bestFit="1" customWidth="1"/>
    <col min="16" max="16384" width="9.125" style="2" customWidth="1"/>
  </cols>
  <sheetData>
    <row r="1" spans="1:3" ht="13.5" customHeight="1">
      <c r="A1" s="6" t="s">
        <v>129</v>
      </c>
      <c r="B1" s="7"/>
      <c r="C1" s="8"/>
    </row>
    <row r="2" spans="1:13" s="12" customFormat="1" ht="18.75">
      <c r="A2" s="1149" t="s">
        <v>700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</row>
    <row r="3" spans="1:13" s="12" customFormat="1" ht="18.75">
      <c r="A3" s="1156"/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</row>
    <row r="4" spans="1:7" s="12" customFormat="1" ht="13.5">
      <c r="A4" s="96"/>
      <c r="B4" s="96"/>
      <c r="C4" s="97"/>
      <c r="D4" s="97"/>
      <c r="E4" s="97"/>
      <c r="F4" s="97"/>
      <c r="G4" s="98"/>
    </row>
    <row r="5" spans="1:7" s="12" customFormat="1" ht="13.5">
      <c r="A5" s="96"/>
      <c r="B5" s="96"/>
      <c r="C5" s="97"/>
      <c r="D5" s="97"/>
      <c r="E5" s="97"/>
      <c r="F5" s="97"/>
      <c r="G5" s="98"/>
    </row>
    <row r="6" spans="1:15" s="12" customFormat="1" ht="19.5" customHeight="1">
      <c r="A6" s="96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94" customFormat="1" ht="12.75" customHeight="1">
      <c r="A7" s="1147" t="s">
        <v>255</v>
      </c>
      <c r="B7" s="1152" t="s">
        <v>102</v>
      </c>
      <c r="C7" s="1121">
        <f>D7-1</f>
        <v>2005</v>
      </c>
      <c r="D7" s="1129">
        <f>Параметры!D3</f>
        <v>2006</v>
      </c>
      <c r="E7" s="1130"/>
      <c r="F7" s="1130"/>
      <c r="G7" s="1131"/>
      <c r="H7" s="1133">
        <f>D7+1</f>
        <v>2007</v>
      </c>
      <c r="I7" s="1134">
        <f aca="true" t="shared" si="0" ref="I7:O7">H7+1</f>
        <v>2008</v>
      </c>
      <c r="J7" s="1134">
        <f t="shared" si="0"/>
        <v>2009</v>
      </c>
      <c r="K7" s="1134">
        <f t="shared" si="0"/>
        <v>2010</v>
      </c>
      <c r="L7" s="1134">
        <f t="shared" si="0"/>
        <v>2011</v>
      </c>
      <c r="M7" s="1134">
        <f t="shared" si="0"/>
        <v>2012</v>
      </c>
      <c r="N7" s="1134">
        <f t="shared" si="0"/>
        <v>2013</v>
      </c>
      <c r="O7" s="1134">
        <f t="shared" si="0"/>
        <v>2014</v>
      </c>
    </row>
    <row r="8" spans="1:15" s="641" customFormat="1" ht="12.75">
      <c r="A8" s="1148"/>
      <c r="B8" s="1153"/>
      <c r="C8" s="1122"/>
      <c r="D8" s="763" t="s">
        <v>725</v>
      </c>
      <c r="E8" s="763" t="s">
        <v>726</v>
      </c>
      <c r="F8" s="763" t="s">
        <v>727</v>
      </c>
      <c r="G8" s="763" t="s">
        <v>728</v>
      </c>
      <c r="H8" s="1134"/>
      <c r="I8" s="1134"/>
      <c r="J8" s="1134"/>
      <c r="K8" s="1134"/>
      <c r="L8" s="1134"/>
      <c r="M8" s="1134"/>
      <c r="N8" s="1134"/>
      <c r="O8" s="1134"/>
    </row>
    <row r="9" spans="1:15" s="93" customFormat="1" ht="12.75" customHeight="1">
      <c r="A9" s="11">
        <v>1</v>
      </c>
      <c r="B9" s="54">
        <f aca="true" t="shared" si="1" ref="B9:O9">A9+1</f>
        <v>2</v>
      </c>
      <c r="C9" s="101">
        <f t="shared" si="1"/>
        <v>3</v>
      </c>
      <c r="D9" s="11">
        <f t="shared" si="1"/>
        <v>4</v>
      </c>
      <c r="E9" s="54">
        <f t="shared" si="1"/>
        <v>5</v>
      </c>
      <c r="F9" s="54">
        <f t="shared" si="1"/>
        <v>6</v>
      </c>
      <c r="G9" s="54">
        <f t="shared" si="1"/>
        <v>7</v>
      </c>
      <c r="H9" s="54">
        <f t="shared" si="1"/>
        <v>8</v>
      </c>
      <c r="I9" s="54">
        <f t="shared" si="1"/>
        <v>9</v>
      </c>
      <c r="J9" s="54">
        <f t="shared" si="1"/>
        <v>10</v>
      </c>
      <c r="K9" s="54">
        <f t="shared" si="1"/>
        <v>11</v>
      </c>
      <c r="L9" s="54">
        <f t="shared" si="1"/>
        <v>12</v>
      </c>
      <c r="M9" s="54">
        <f t="shared" si="1"/>
        <v>13</v>
      </c>
      <c r="N9" s="54">
        <f t="shared" si="1"/>
        <v>14</v>
      </c>
      <c r="O9" s="54">
        <f t="shared" si="1"/>
        <v>15</v>
      </c>
    </row>
    <row r="10" spans="1:15" ht="12.75">
      <c r="A10" s="46"/>
      <c r="B10" s="929" t="s">
        <v>139</v>
      </c>
      <c r="C10" s="249"/>
      <c r="D10" s="252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s="1" customFormat="1" ht="12.75">
      <c r="A11" s="237"/>
      <c r="B11" s="79" t="s">
        <v>140</v>
      </c>
      <c r="C11" s="50"/>
      <c r="D11" s="50">
        <f>SUM(D12:D20)</f>
        <v>700895.2797690871</v>
      </c>
      <c r="E11" s="49">
        <f aca="true" t="shared" si="2" ref="E11:O11">SUM(E12:E20)</f>
        <v>973125.296803653</v>
      </c>
      <c r="F11" s="49">
        <f t="shared" si="2"/>
        <v>1245929.0410958903</v>
      </c>
      <c r="G11" s="49">
        <f t="shared" si="2"/>
        <v>1389030.4109589038</v>
      </c>
      <c r="H11" s="49">
        <f t="shared" si="2"/>
        <v>10468430</v>
      </c>
      <c r="I11" s="49">
        <f t="shared" si="2"/>
        <v>23117013.01369863</v>
      </c>
      <c r="J11" s="49">
        <f t="shared" si="2"/>
        <v>39472219.1780822</v>
      </c>
      <c r="K11" s="49">
        <f t="shared" si="2"/>
        <v>4410147.945205479</v>
      </c>
      <c r="L11" s="49">
        <f t="shared" si="2"/>
        <v>6490219.178082191</v>
      </c>
      <c r="M11" s="49">
        <f t="shared" si="2"/>
        <v>0</v>
      </c>
      <c r="N11" s="49">
        <f t="shared" si="2"/>
        <v>0</v>
      </c>
      <c r="O11" s="888">
        <f t="shared" si="2"/>
        <v>0</v>
      </c>
    </row>
    <row r="12" spans="1:15" s="1" customFormat="1" ht="12.75">
      <c r="A12" s="165" t="s">
        <v>289</v>
      </c>
      <c r="B12" s="930" t="str">
        <f>VLOOKUP(A12,Справочники!$B:$F,4,FALSE)</f>
        <v>Поступления от продажи специализированных комплексов</v>
      </c>
      <c r="C12" s="50"/>
      <c r="D12" s="771">
        <f>-Дебиторы!D31</f>
        <v>479454.8688101829</v>
      </c>
      <c r="E12" s="772">
        <f>-Дебиторы!E31</f>
        <v>639107.397260274</v>
      </c>
      <c r="F12" s="772">
        <f>-Дебиторы!F31</f>
        <v>819825.205479452</v>
      </c>
      <c r="G12" s="772">
        <f>-Дебиторы!G31</f>
        <v>880279.9999999999</v>
      </c>
      <c r="H12" s="772">
        <f>-Дебиторы!H31</f>
        <v>4524734.2465753425</v>
      </c>
      <c r="I12" s="772">
        <f>-Дебиторы!I31</f>
        <v>7094871.232876712</v>
      </c>
      <c r="J12" s="772">
        <f>-Дебиторы!J31</f>
        <v>14467123.287671234</v>
      </c>
      <c r="K12" s="772">
        <f>-Дебиторы!K31</f>
        <v>2586301.3698630137</v>
      </c>
      <c r="L12" s="772">
        <f>-Дебиторы!L31</f>
        <v>4849315.06849315</v>
      </c>
      <c r="M12" s="772">
        <f>-Дебиторы!M31</f>
        <v>0</v>
      </c>
      <c r="N12" s="772">
        <f>-Дебиторы!N31</f>
        <v>0</v>
      </c>
      <c r="O12" s="781">
        <f>-Дебиторы!O31</f>
        <v>0</v>
      </c>
    </row>
    <row r="13" spans="1:15" s="1" customFormat="1" ht="12.75">
      <c r="A13" s="165" t="s">
        <v>290</v>
      </c>
      <c r="B13" s="930" t="str">
        <f>VLOOKUP(A13,Справочники!$B:$F,4,FALSE)</f>
        <v>Поступления от продажи серверных решений</v>
      </c>
      <c r="C13" s="50"/>
      <c r="D13" s="771">
        <f>-Дебиторы!D39</f>
        <v>150369.1780821918</v>
      </c>
      <c r="E13" s="772">
        <f>-Дебиторы!E39</f>
        <v>200656.57534246575</v>
      </c>
      <c r="F13" s="772">
        <f>-Дебиторы!F39</f>
        <v>330319.1780821918</v>
      </c>
      <c r="G13" s="772">
        <f>-Дебиторы!G39</f>
        <v>390499.1780821918</v>
      </c>
      <c r="H13" s="772">
        <f>-Дебиторы!H39</f>
        <v>1242394.520547945</v>
      </c>
      <c r="I13" s="772">
        <f>-Дебиторы!I39</f>
        <v>3007415.890410959</v>
      </c>
      <c r="J13" s="772">
        <f>-Дебиторы!J39</f>
        <v>4176876.7123287674</v>
      </c>
      <c r="K13" s="772">
        <f>-Дебиторы!K39</f>
        <v>578038.3561643837</v>
      </c>
      <c r="L13" s="772">
        <f>-Дебиторы!L39</f>
        <v>775890.4109589041</v>
      </c>
      <c r="M13" s="772">
        <f>-Дебиторы!M39</f>
        <v>0</v>
      </c>
      <c r="N13" s="772">
        <f>-Дебиторы!N39</f>
        <v>0</v>
      </c>
      <c r="O13" s="781">
        <f>-Дебиторы!O39</f>
        <v>0</v>
      </c>
    </row>
    <row r="14" spans="1:15" s="1" customFormat="1" ht="12.75">
      <c r="A14" s="165" t="s">
        <v>291</v>
      </c>
      <c r="B14" s="930" t="str">
        <f>VLOOKUP(A14,Справочники!$B:$F,4,FALSE)</f>
        <v>Поступления от продажи систем хранения данных</v>
      </c>
      <c r="C14" s="50"/>
      <c r="D14" s="771">
        <f>-Дебиторы!D47</f>
        <v>18411.23287671233</v>
      </c>
      <c r="E14" s="772">
        <f>-Дебиторы!E47</f>
        <v>27616.849315068495</v>
      </c>
      <c r="F14" s="772">
        <f>-Дебиторы!F47</f>
        <v>47676.849315068495</v>
      </c>
      <c r="G14" s="772">
        <f>-Дебиторы!G47</f>
        <v>48501.232876712325</v>
      </c>
      <c r="H14" s="772">
        <f>-Дебиторы!H47</f>
        <v>1303738.3561643837</v>
      </c>
      <c r="I14" s="772">
        <f>-Дебиторы!I47</f>
        <v>3144861.6438356168</v>
      </c>
      <c r="J14" s="772">
        <f>-Дебиторы!J47</f>
        <v>2823917.808219178</v>
      </c>
      <c r="K14" s="772">
        <f>-Дебиторы!K47</f>
        <v>281260.2739726027</v>
      </c>
      <c r="L14" s="772">
        <f>-Дебиторы!L47</f>
        <v>242465.75342465754</v>
      </c>
      <c r="M14" s="772">
        <f>-Дебиторы!M47</f>
        <v>0</v>
      </c>
      <c r="N14" s="772">
        <f>-Дебиторы!N47</f>
        <v>0</v>
      </c>
      <c r="O14" s="781">
        <f>-Дебиторы!O47</f>
        <v>0</v>
      </c>
    </row>
    <row r="15" spans="1:15" s="1" customFormat="1" ht="12.75">
      <c r="A15" s="165" t="s">
        <v>292</v>
      </c>
      <c r="B15" s="930" t="str">
        <f>VLOOKUP(A15,Справочники!$B:$F,4,FALSE)</f>
        <v>Поступления от продажи програмного обеспечения</v>
      </c>
      <c r="C15" s="50"/>
      <c r="D15" s="771">
        <f>-Дебиторы!D55</f>
        <v>0</v>
      </c>
      <c r="E15" s="772">
        <f>-Дебиторы!E55</f>
        <v>9617.808219178081</v>
      </c>
      <c r="F15" s="772">
        <f>-Дебиторы!F55</f>
        <v>9617.808219178083</v>
      </c>
      <c r="G15" s="772">
        <f>-Дебиторы!G55</f>
        <v>10030</v>
      </c>
      <c r="H15" s="772">
        <f>-Дебиторы!H55</f>
        <v>113562.87671232875</v>
      </c>
      <c r="I15" s="772">
        <f>-Дебиторы!I55</f>
        <v>339864.2465753425</v>
      </c>
      <c r="J15" s="772">
        <f>-Дебиторы!J55</f>
        <v>344301.3698630137</v>
      </c>
      <c r="K15" s="772">
        <f>-Дебиторы!K55</f>
        <v>14547.945205479451</v>
      </c>
      <c r="L15" s="772">
        <f>-Дебиторы!L55</f>
        <v>14547.945205479451</v>
      </c>
      <c r="M15" s="772">
        <f>-Дебиторы!M55</f>
        <v>0</v>
      </c>
      <c r="N15" s="772">
        <f>-Дебиторы!N55</f>
        <v>0</v>
      </c>
      <c r="O15" s="781">
        <f>-Дебиторы!O55</f>
        <v>0</v>
      </c>
    </row>
    <row r="16" spans="1:15" s="1" customFormat="1" ht="12.75">
      <c r="A16" s="165" t="s">
        <v>293</v>
      </c>
      <c r="B16" s="930" t="str">
        <f>VLOOKUP(A16,Справочники!$B:$F,4,FALSE)</f>
        <v>Поступления от продажи услуг</v>
      </c>
      <c r="C16" s="50"/>
      <c r="D16" s="771">
        <f>-Дебиторы!D63</f>
        <v>20060</v>
      </c>
      <c r="E16" s="772">
        <f>-Дебиторы!E63</f>
        <v>20060</v>
      </c>
      <c r="F16" s="772">
        <f>-Дебиторы!F63</f>
        <v>30090</v>
      </c>
      <c r="G16" s="772">
        <f>-Дебиторы!G63</f>
        <v>40120</v>
      </c>
      <c r="H16" s="772">
        <f>-Дебиторы!H63</f>
        <v>2714000</v>
      </c>
      <c r="I16" s="772">
        <f>-Дебиторы!I63</f>
        <v>8732000</v>
      </c>
      <c r="J16" s="772">
        <f>-Дебиторы!J63</f>
        <v>16520000</v>
      </c>
      <c r="K16" s="772">
        <f>-Дебиторы!K63</f>
        <v>0</v>
      </c>
      <c r="L16" s="772">
        <f>-Дебиторы!L63</f>
        <v>0</v>
      </c>
      <c r="M16" s="772">
        <f>-Дебиторы!M63</f>
        <v>0</v>
      </c>
      <c r="N16" s="772">
        <f>-Дебиторы!N63</f>
        <v>0</v>
      </c>
      <c r="O16" s="781">
        <f>-Дебиторы!O63</f>
        <v>0</v>
      </c>
    </row>
    <row r="17" spans="1:15" s="1" customFormat="1" ht="12.75">
      <c r="A17" s="165" t="s">
        <v>134</v>
      </c>
      <c r="B17" s="930" t="str">
        <f>VLOOKUP(A17,Справочники!$B:$F,4,FALSE)</f>
        <v>Поступления от продажи адаптера</v>
      </c>
      <c r="C17" s="50"/>
      <c r="D17" s="771">
        <f>-Дебиторы!D71</f>
        <v>0</v>
      </c>
      <c r="E17" s="772">
        <f>-Дебиторы!E71</f>
        <v>0</v>
      </c>
      <c r="F17" s="772">
        <f>-Дебиторы!F71</f>
        <v>0</v>
      </c>
      <c r="G17" s="772">
        <f>-Дебиторы!G71</f>
        <v>0</v>
      </c>
      <c r="H17" s="772">
        <f>-Дебиторы!H71</f>
        <v>570000</v>
      </c>
      <c r="I17" s="772">
        <f>-Дебиторы!I71</f>
        <v>798000</v>
      </c>
      <c r="J17" s="772">
        <f>-Дебиторы!J71</f>
        <v>1140000</v>
      </c>
      <c r="K17" s="772">
        <f>-Дебиторы!K71</f>
        <v>949999.9999999999</v>
      </c>
      <c r="L17" s="772">
        <f>-Дебиторы!L71</f>
        <v>608000</v>
      </c>
      <c r="M17" s="772">
        <f>-Дебиторы!M71</f>
        <v>0</v>
      </c>
      <c r="N17" s="772">
        <f>-Дебиторы!N71</f>
        <v>0</v>
      </c>
      <c r="O17" s="781">
        <f>-Дебиторы!O71</f>
        <v>0</v>
      </c>
    </row>
    <row r="18" spans="1:15" s="1" customFormat="1" ht="12.75">
      <c r="A18" s="165" t="s">
        <v>506</v>
      </c>
      <c r="B18" s="930" t="str">
        <f>VLOOKUP(A18,Справочники!$B:$F,4,FALSE)</f>
        <v>Поступления от продажи продукта N (Гос. инвестиции)</v>
      </c>
      <c r="C18" s="50"/>
      <c r="D18" s="771">
        <f>-Дебиторы!D79</f>
        <v>32600</v>
      </c>
      <c r="E18" s="772">
        <f>-Дебиторы!E79</f>
        <v>76066.66666666667</v>
      </c>
      <c r="F18" s="772">
        <f>-Дебиторы!F79</f>
        <v>8400</v>
      </c>
      <c r="G18" s="772">
        <f>-Дебиторы!G79</f>
        <v>19600</v>
      </c>
      <c r="H18" s="772">
        <f>-Дебиторы!H79</f>
        <v>0</v>
      </c>
      <c r="I18" s="772">
        <f>-Дебиторы!I79</f>
        <v>0</v>
      </c>
      <c r="J18" s="772">
        <f>-Дебиторы!J79</f>
        <v>0</v>
      </c>
      <c r="K18" s="772">
        <f>-Дебиторы!K79</f>
        <v>0</v>
      </c>
      <c r="L18" s="772">
        <f>-Дебиторы!L79</f>
        <v>0</v>
      </c>
      <c r="M18" s="772">
        <f>-Дебиторы!M79</f>
        <v>0</v>
      </c>
      <c r="N18" s="772">
        <f>-Дебиторы!N79</f>
        <v>0</v>
      </c>
      <c r="O18" s="781">
        <f>-Дебиторы!O79</f>
        <v>0</v>
      </c>
    </row>
    <row r="19" spans="1:15" s="1" customFormat="1" ht="12.75">
      <c r="A19" s="165" t="s">
        <v>507</v>
      </c>
      <c r="B19" s="930" t="str">
        <f>VLOOKUP(A19,Справочники!$B:$F,4,FALSE)</f>
        <v>Авансовые поступления</v>
      </c>
      <c r="C19" s="50"/>
      <c r="D19" s="771">
        <f>Дебиторы!D85</f>
        <v>0</v>
      </c>
      <c r="E19" s="772">
        <f>Дебиторы!E85</f>
        <v>0</v>
      </c>
      <c r="F19" s="772">
        <f>Дебиторы!F85</f>
        <v>0</v>
      </c>
      <c r="G19" s="772">
        <f>Дебиторы!G85</f>
        <v>0</v>
      </c>
      <c r="H19" s="772">
        <f>Дебиторы!H85</f>
        <v>0</v>
      </c>
      <c r="I19" s="772">
        <f>Дебиторы!I85</f>
        <v>0</v>
      </c>
      <c r="J19" s="772">
        <f>Дебиторы!J85</f>
        <v>0</v>
      </c>
      <c r="K19" s="772">
        <f>Дебиторы!K85</f>
        <v>0</v>
      </c>
      <c r="L19" s="772">
        <f>Дебиторы!L85</f>
        <v>0</v>
      </c>
      <c r="M19" s="772">
        <f>Дебиторы!M85</f>
        <v>0</v>
      </c>
      <c r="N19" s="772">
        <f>Дебиторы!N85</f>
        <v>0</v>
      </c>
      <c r="O19" s="781">
        <f>Дебиторы!O85</f>
        <v>0</v>
      </c>
    </row>
    <row r="20" spans="1:15" s="1" customFormat="1" ht="12.75">
      <c r="A20" s="165" t="s">
        <v>508</v>
      </c>
      <c r="B20" s="930" t="str">
        <f>VLOOKUP(A20,Справочники!$B:$F,4,FALSE)</f>
        <v>Прочие поступления</v>
      </c>
      <c r="C20" s="50"/>
      <c r="D20" s="771">
        <f>'ОДР '!D18</f>
        <v>0</v>
      </c>
      <c r="E20" s="772">
        <f>'ОДР '!E18</f>
        <v>0</v>
      </c>
      <c r="F20" s="772">
        <f>'ОДР '!F18</f>
        <v>0</v>
      </c>
      <c r="G20" s="772">
        <f>'ОДР '!G18</f>
        <v>0</v>
      </c>
      <c r="H20" s="772">
        <f>'ОДР '!H18</f>
        <v>0</v>
      </c>
      <c r="I20" s="772">
        <f>'ОДР '!I18</f>
        <v>0</v>
      </c>
      <c r="J20" s="772">
        <f>'ОДР '!J18</f>
        <v>0</v>
      </c>
      <c r="K20" s="772">
        <f>'ОДР '!K18</f>
        <v>0</v>
      </c>
      <c r="L20" s="772">
        <f>'ОДР '!L18</f>
        <v>0</v>
      </c>
      <c r="M20" s="772">
        <f>'ОДР '!M18</f>
        <v>0</v>
      </c>
      <c r="N20" s="772">
        <f>'ОДР '!N18</f>
        <v>0</v>
      </c>
      <c r="O20" s="781">
        <f>'ОДР '!O18</f>
        <v>0</v>
      </c>
    </row>
    <row r="21" spans="1:15" s="1" customFormat="1" ht="12.75">
      <c r="A21" s="237"/>
      <c r="B21" s="79" t="s">
        <v>82</v>
      </c>
      <c r="C21" s="50"/>
      <c r="D21" s="50">
        <f>SUM(D22:D30)-D26</f>
        <v>538625.968424021</v>
      </c>
      <c r="E21" s="49">
        <f aca="true" t="shared" si="3" ref="E21:O21">SUM(E22:E30)-E26</f>
        <v>1137013.5888007374</v>
      </c>
      <c r="F21" s="49">
        <f t="shared" si="3"/>
        <v>1271298.6730080745</v>
      </c>
      <c r="G21" s="49">
        <f t="shared" si="3"/>
        <v>1491943.691081509</v>
      </c>
      <c r="H21" s="49">
        <f t="shared" si="3"/>
        <v>9923757.893372407</v>
      </c>
      <c r="I21" s="49">
        <f t="shared" si="3"/>
        <v>18698062.6195928</v>
      </c>
      <c r="J21" s="49">
        <f t="shared" si="3"/>
        <v>29323413.059844136</v>
      </c>
      <c r="K21" s="49">
        <f t="shared" si="3"/>
        <v>2974535.1852736766</v>
      </c>
      <c r="L21" s="49">
        <f t="shared" si="3"/>
        <v>2551969.1080194274</v>
      </c>
      <c r="M21" s="49">
        <f t="shared" si="3"/>
        <v>115108.13927605192</v>
      </c>
      <c r="N21" s="49">
        <f t="shared" si="3"/>
        <v>98897.99941588825</v>
      </c>
      <c r="O21" s="888">
        <f t="shared" si="3"/>
        <v>70590.32530915107</v>
      </c>
    </row>
    <row r="22" spans="1:15" s="1" customFormat="1" ht="12.75" customHeight="1">
      <c r="A22" s="165" t="s">
        <v>295</v>
      </c>
      <c r="B22" s="245" t="str">
        <f>VLOOKUP(A22,Справочники!$B:$F,4,FALSE)</f>
        <v>Материальные затраты</v>
      </c>
      <c r="C22" s="50"/>
      <c r="D22" s="771">
        <f>-Кредиторы!D63</f>
        <v>1298</v>
      </c>
      <c r="E22" s="772">
        <f>-Кредиторы!E63</f>
        <v>1298</v>
      </c>
      <c r="F22" s="772">
        <f>-Кредиторы!F63</f>
        <v>1298</v>
      </c>
      <c r="G22" s="772">
        <f>-Кредиторы!G63</f>
        <v>1298</v>
      </c>
      <c r="H22" s="772">
        <f>-Кредиторы!H63</f>
        <v>5900</v>
      </c>
      <c r="I22" s="772">
        <f>-Кредиторы!I63</f>
        <v>6490</v>
      </c>
      <c r="J22" s="772">
        <f>-Кредиторы!J63</f>
        <v>7080</v>
      </c>
      <c r="K22" s="772">
        <f>-Кредиторы!K63</f>
        <v>7670</v>
      </c>
      <c r="L22" s="772">
        <f>-Кредиторы!L63</f>
        <v>0</v>
      </c>
      <c r="M22" s="772">
        <f>-Кредиторы!M63</f>
        <v>0</v>
      </c>
      <c r="N22" s="772">
        <f>-Кредиторы!N63</f>
        <v>0</v>
      </c>
      <c r="O22" s="781">
        <f>-Кредиторы!O63</f>
        <v>0</v>
      </c>
    </row>
    <row r="23" spans="1:15" s="1" customFormat="1" ht="12.75" customHeight="1">
      <c r="A23" s="165" t="s">
        <v>308</v>
      </c>
      <c r="B23" s="245" t="str">
        <f>VLOOKUP(A23,Справочники!$B:$F,4,FALSE)</f>
        <v>Расходы на оплату труда</v>
      </c>
      <c r="C23" s="50"/>
      <c r="D23" s="771">
        <f>-Кредиторы!D70</f>
        <v>96968.19706390328</v>
      </c>
      <c r="E23" s="772">
        <f>-Кредиторы!E70</f>
        <v>94020.9</v>
      </c>
      <c r="F23" s="772">
        <f>-Кредиторы!F70</f>
        <v>94909.9</v>
      </c>
      <c r="G23" s="772">
        <f>-Кредиторы!G70</f>
        <v>128666.4</v>
      </c>
      <c r="H23" s="772">
        <f>-Кредиторы!H70</f>
        <v>577035.5875706215</v>
      </c>
      <c r="I23" s="772">
        <f>-Кредиторы!I70</f>
        <v>689463.7225988699</v>
      </c>
      <c r="J23" s="772">
        <f>-Кредиторы!J70</f>
        <v>819831.1118079097</v>
      </c>
      <c r="K23" s="772">
        <f>-Кредиторы!K70</f>
        <v>703626.0873954801</v>
      </c>
      <c r="L23" s="772">
        <f>-Кредиторы!L70</f>
        <v>-95400.0905</v>
      </c>
      <c r="M23" s="772">
        <f>-Кредиторы!M70</f>
        <v>-95400.0905</v>
      </c>
      <c r="N23" s="772">
        <f>-Кредиторы!N70</f>
        <v>-95400.0905</v>
      </c>
      <c r="O23" s="781">
        <f>-Кредиторы!O70</f>
        <v>-95400.0905</v>
      </c>
    </row>
    <row r="24" spans="1:15" s="1" customFormat="1" ht="12.75" collapsed="1">
      <c r="A24" s="165" t="s">
        <v>317</v>
      </c>
      <c r="B24" s="930" t="str">
        <f>VLOOKUP(A24,Справочники!$B:$F,4,FALSE)</f>
        <v>Услуги сторонних организаций</v>
      </c>
      <c r="C24" s="50"/>
      <c r="D24" s="771">
        <f>-Кредиторы!D86</f>
        <v>86183.80200345423</v>
      </c>
      <c r="E24" s="772">
        <f>-Кредиторы!E86</f>
        <v>71021.84</v>
      </c>
      <c r="F24" s="772">
        <f>-Кредиторы!F86</f>
        <v>106421.84</v>
      </c>
      <c r="G24" s="772">
        <f>-Кредиторы!G86</f>
        <v>106421.84</v>
      </c>
      <c r="H24" s="772">
        <f>-Кредиторы!H86</f>
        <v>662580.78</v>
      </c>
      <c r="I24" s="772">
        <f>-Кредиторы!I86</f>
        <v>757982.9</v>
      </c>
      <c r="J24" s="772">
        <f>-Кредиторы!J86</f>
        <v>887826.125</v>
      </c>
      <c r="K24" s="772">
        <f>-Кредиторы!K86</f>
        <v>529247.99125</v>
      </c>
      <c r="L24" s="772">
        <f>-Кредиторы!L86</f>
        <v>97280.00000000001</v>
      </c>
      <c r="M24" s="772">
        <f>-Кредиторы!M86</f>
        <v>0</v>
      </c>
      <c r="N24" s="772">
        <f>-Кредиторы!N86</f>
        <v>0</v>
      </c>
      <c r="O24" s="781">
        <f>-Кредиторы!O86</f>
        <v>0</v>
      </c>
    </row>
    <row r="25" spans="1:15" s="1" customFormat="1" ht="12.75" hidden="1" outlineLevel="1">
      <c r="A25" s="165"/>
      <c r="B25" s="932" t="s">
        <v>350</v>
      </c>
      <c r="C25" s="50"/>
      <c r="D25" s="771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81"/>
    </row>
    <row r="26" spans="1:15" s="1" customFormat="1" ht="12.75" hidden="1" outlineLevel="1">
      <c r="A26" s="164" t="s">
        <v>705</v>
      </c>
      <c r="B26" s="932" t="str">
        <f>VLOOKUP(A26,Справочники!$B:$F,4,FALSE)</f>
        <v>Роялти</v>
      </c>
      <c r="C26" s="50"/>
      <c r="D26" s="771">
        <f>'ОДР '!D72</f>
        <v>0</v>
      </c>
      <c r="E26" s="772">
        <f>'ОДР '!E72</f>
        <v>0</v>
      </c>
      <c r="F26" s="772">
        <f>'ОДР '!F72</f>
        <v>0</v>
      </c>
      <c r="G26" s="772">
        <f>'ОДР '!G72</f>
        <v>0</v>
      </c>
      <c r="H26" s="772">
        <f>'ОДР '!H72</f>
        <v>77288.13559322034</v>
      </c>
      <c r="I26" s="772">
        <f>'ОДР '!I72</f>
        <v>108203.38983050847</v>
      </c>
      <c r="J26" s="772">
        <f>'ОДР '!J72</f>
        <v>154576.2711864407</v>
      </c>
      <c r="K26" s="772">
        <f>'ОДР '!K72</f>
        <v>128813.5593220339</v>
      </c>
      <c r="L26" s="772">
        <f>'ОДР '!L72</f>
        <v>82440.6779661017</v>
      </c>
      <c r="M26" s="772">
        <f>'ОДР '!M72</f>
        <v>0</v>
      </c>
      <c r="N26" s="772">
        <f>'ОДР '!N72</f>
        <v>0</v>
      </c>
      <c r="O26" s="781">
        <f>'ОДР '!O72</f>
        <v>0</v>
      </c>
    </row>
    <row r="27" spans="1:15" s="1" customFormat="1" ht="12.75">
      <c r="A27" s="165" t="s">
        <v>103</v>
      </c>
      <c r="B27" s="930" t="str">
        <f>VLOOKUP(A27,Справочники!$B:$F,4,FALSE)</f>
        <v>Налоги и сборы</v>
      </c>
      <c r="C27" s="50"/>
      <c r="D27" s="771">
        <f>Налоги!D57+НДС!D75-Кредиторы!D78</f>
        <v>41382.79298739206</v>
      </c>
      <c r="E27" s="772">
        <f>Налоги!E57+НДС!E75-Кредиторы!E78</f>
        <v>43653.32688292921</v>
      </c>
      <c r="F27" s="772">
        <f>Налоги!F57+НДС!F75-Кредиторы!F78</f>
        <v>25789.04260894508</v>
      </c>
      <c r="G27" s="772">
        <f>Налоги!G57+НДС!G75-Кредиторы!G78</f>
        <v>23104.934643153014</v>
      </c>
      <c r="H27" s="772">
        <f>Налоги!H57+НДС!H75-Кредиторы!H78</f>
        <v>1006303.0107332917</v>
      </c>
      <c r="I27" s="772">
        <f>Налоги!I57+НДС!I75-Кредиторы!I78</f>
        <v>3408399.920281599</v>
      </c>
      <c r="J27" s="772">
        <f>Налоги!J57+НДС!J75-Кредиторы!J78</f>
        <v>6649569.9326252695</v>
      </c>
      <c r="K27" s="772">
        <f>Налоги!K57+НДС!K75-Кредиторы!K78</f>
        <v>109756.90114874483</v>
      </c>
      <c r="L27" s="772">
        <f>Налоги!L57+НДС!L75-Кредиторы!L78</f>
        <v>891363.7190673724</v>
      </c>
      <c r="M27" s="772">
        <f>Налоги!M57+НДС!M75-Кредиторы!M78</f>
        <v>167302.75032399714</v>
      </c>
      <c r="N27" s="772">
        <f>Налоги!N57+НДС!N75-Кредиторы!N78</f>
        <v>166646.5830665732</v>
      </c>
      <c r="O27" s="781">
        <f>Налоги!O57+НДС!O75-Кредиторы!O78</f>
        <v>165990.41580915108</v>
      </c>
    </row>
    <row r="28" spans="1:15" s="1" customFormat="1" ht="12.75" customHeight="1">
      <c r="A28" s="165" t="s">
        <v>110</v>
      </c>
      <c r="B28" s="245" t="str">
        <f>VLOOKUP(A28,Справочники!$B:$F,4,FALSE)</f>
        <v>Социальные расходы и расходы на развитие персонала</v>
      </c>
      <c r="C28" s="50"/>
      <c r="D28" s="771">
        <f>-Кредиторы!D94</f>
        <v>1860</v>
      </c>
      <c r="E28" s="772">
        <f>-Кредиторы!E94</f>
        <v>1860</v>
      </c>
      <c r="F28" s="772">
        <f>-Кредиторы!F94</f>
        <v>450</v>
      </c>
      <c r="G28" s="772">
        <f>-Кредиторы!G94</f>
        <v>4950</v>
      </c>
      <c r="H28" s="772">
        <f>-Кредиторы!H94</f>
        <v>7500</v>
      </c>
      <c r="I28" s="772">
        <f>-Кредиторы!I94</f>
        <v>8000</v>
      </c>
      <c r="J28" s="772">
        <f>-Кредиторы!J94</f>
        <v>9000</v>
      </c>
      <c r="K28" s="772">
        <f>-Кредиторы!K94</f>
        <v>9500</v>
      </c>
      <c r="L28" s="772">
        <f>-Кредиторы!L94</f>
        <v>0</v>
      </c>
      <c r="M28" s="772">
        <f>-Кредиторы!M94</f>
        <v>0</v>
      </c>
      <c r="N28" s="772">
        <f>-Кредиторы!N94</f>
        <v>0</v>
      </c>
      <c r="O28" s="781">
        <f>-Кредиторы!O94</f>
        <v>0</v>
      </c>
    </row>
    <row r="29" spans="1:15" s="1" customFormat="1" ht="12.75" customHeight="1">
      <c r="A29" s="165" t="s">
        <v>115</v>
      </c>
      <c r="B29" s="245" t="str">
        <f>VLOOKUP(A29,Справочники!$B:$F,4,FALSE)</f>
        <v>Прочие расходы</v>
      </c>
      <c r="C29" s="50"/>
      <c r="D29" s="771">
        <f>-Кредиторы!D102</f>
        <v>10620</v>
      </c>
      <c r="E29" s="772">
        <f>-Кредиторы!E102</f>
        <v>11800</v>
      </c>
      <c r="F29" s="772">
        <f>-Кредиторы!F102</f>
        <v>16520</v>
      </c>
      <c r="G29" s="772">
        <f>-Кредиторы!G102</f>
        <v>27140</v>
      </c>
      <c r="H29" s="772">
        <f>-Кредиторы!H102</f>
        <v>106200</v>
      </c>
      <c r="I29" s="772">
        <f>-Кредиторы!I102</f>
        <v>118000</v>
      </c>
      <c r="J29" s="772">
        <f>-Кредиторы!J102</f>
        <v>130390</v>
      </c>
      <c r="K29" s="772">
        <f>-Кредиторы!K102</f>
        <v>78529</v>
      </c>
      <c r="L29" s="772">
        <f>-Кредиторы!L102</f>
        <v>0</v>
      </c>
      <c r="M29" s="772">
        <f>-Кредиторы!M102</f>
        <v>0</v>
      </c>
      <c r="N29" s="772">
        <f>-Кредиторы!N102</f>
        <v>0</v>
      </c>
      <c r="O29" s="781">
        <f>-Кредиторы!O102</f>
        <v>0</v>
      </c>
    </row>
    <row r="30" spans="1:15" s="1" customFormat="1" ht="12.75">
      <c r="A30" s="165" t="s">
        <v>11</v>
      </c>
      <c r="B30" s="246" t="str">
        <f>VLOOKUP(A30,Справочники!$B:$F,3,FALSE)</f>
        <v>Товары для перепродажи</v>
      </c>
      <c r="C30" s="251"/>
      <c r="D30" s="773">
        <f>-Кредиторы!D110</f>
        <v>300313.17636927153</v>
      </c>
      <c r="E30" s="774">
        <f>-Кредиторы!E110</f>
        <v>913359.5219178082</v>
      </c>
      <c r="F30" s="774">
        <f>-Кредиторы!F110</f>
        <v>1025909.8903991294</v>
      </c>
      <c r="G30" s="774">
        <f>-Кредиторы!G110</f>
        <v>1200362.5164383561</v>
      </c>
      <c r="H30" s="774">
        <f>-Кредиторы!H110</f>
        <v>7558238.515068494</v>
      </c>
      <c r="I30" s="774">
        <f>-Кредиторы!I110</f>
        <v>13709726.076712329</v>
      </c>
      <c r="J30" s="774">
        <f>-Кредиторы!J110</f>
        <v>20819715.89041096</v>
      </c>
      <c r="K30" s="774">
        <f>-Кредиторы!K110</f>
        <v>1536205.2054794517</v>
      </c>
      <c r="L30" s="774">
        <f>-Кредиторы!L110</f>
        <v>1658725.4794520547</v>
      </c>
      <c r="M30" s="774">
        <f>-Кредиторы!M110</f>
        <v>43205.479452054795</v>
      </c>
      <c r="N30" s="774">
        <f>-Кредиторы!N110</f>
        <v>27651.50684931507</v>
      </c>
      <c r="O30" s="782">
        <f>-Кредиторы!O110</f>
        <v>0</v>
      </c>
    </row>
    <row r="31" spans="1:15" s="59" customFormat="1" ht="12.75">
      <c r="A31" s="935"/>
      <c r="B31" s="931" t="s">
        <v>142</v>
      </c>
      <c r="C31" s="261"/>
      <c r="D31" s="261">
        <f aca="true" t="shared" si="4" ref="D31:O31">D11-D21</f>
        <v>162269.31134506606</v>
      </c>
      <c r="E31" s="638">
        <f t="shared" si="4"/>
        <v>-163888.2919970844</v>
      </c>
      <c r="F31" s="262">
        <f t="shared" si="4"/>
        <v>-25369.63191218418</v>
      </c>
      <c r="G31" s="262">
        <f t="shared" si="4"/>
        <v>-102913.28012260515</v>
      </c>
      <c r="H31" s="262">
        <f t="shared" si="4"/>
        <v>544672.1066275928</v>
      </c>
      <c r="I31" s="262">
        <f t="shared" si="4"/>
        <v>4418950.394105829</v>
      </c>
      <c r="J31" s="262">
        <f t="shared" si="4"/>
        <v>10148806.118238062</v>
      </c>
      <c r="K31" s="262">
        <f t="shared" si="4"/>
        <v>1435612.7599318023</v>
      </c>
      <c r="L31" s="262">
        <f t="shared" si="4"/>
        <v>3938250.070062764</v>
      </c>
      <c r="M31" s="262">
        <f t="shared" si="4"/>
        <v>-115108.13927605192</v>
      </c>
      <c r="N31" s="262">
        <f t="shared" si="4"/>
        <v>-98897.99941588825</v>
      </c>
      <c r="O31" s="889">
        <f t="shared" si="4"/>
        <v>-70590.32530915107</v>
      </c>
    </row>
    <row r="32" spans="1:15" ht="12.75">
      <c r="A32" s="248"/>
      <c r="B32" s="929" t="s">
        <v>143</v>
      </c>
      <c r="C32" s="249"/>
      <c r="D32" s="775"/>
      <c r="E32" s="776"/>
      <c r="F32" s="776"/>
      <c r="G32" s="776"/>
      <c r="H32" s="776"/>
      <c r="I32" s="776"/>
      <c r="J32" s="776"/>
      <c r="K32" s="776"/>
      <c r="L32" s="776"/>
      <c r="M32" s="776"/>
      <c r="N32" s="776"/>
      <c r="O32" s="890"/>
    </row>
    <row r="33" spans="1:15" s="1" customFormat="1" ht="12.75">
      <c r="A33" s="165" t="s">
        <v>482</v>
      </c>
      <c r="B33" s="930" t="str">
        <f>VLOOKUP(A33,Справочники!$B:$F,4,FALSE)</f>
        <v>Поступления от реализации (выбытия) активов</v>
      </c>
      <c r="C33" s="50"/>
      <c r="D33" s="771">
        <f>VLOOKUP($A33,'Неопер. ДиР'!$A$10:$O$14,COLUMN('Неопер. ДиР'!E:E)-1,FALSE)</f>
        <v>0</v>
      </c>
      <c r="E33" s="772">
        <f>VLOOKUP($A33,'Неопер. ДиР'!$A$10:$O$14,COLUMN('Неопер. ДиР'!F:F)-1,FALSE)</f>
        <v>0</v>
      </c>
      <c r="F33" s="772">
        <f>VLOOKUP($A33,'Неопер. ДиР'!$A$10:$O$14,COLUMN('Неопер. ДиР'!G:G)-1,FALSE)</f>
        <v>0</v>
      </c>
      <c r="G33" s="772">
        <f>VLOOKUP($A33,'Неопер. ДиР'!$A$10:$O$14,COLUMN('Неопер. ДиР'!H:H)-1,FALSE)</f>
        <v>0</v>
      </c>
      <c r="H33" s="772">
        <f>VLOOKUP($A33,'Неопер. ДиР'!$A$10:$O$14,COLUMN('Неопер. ДиР'!I:I)-1,FALSE)</f>
        <v>0</v>
      </c>
      <c r="I33" s="772">
        <f>VLOOKUP($A33,'Неопер. ДиР'!$A$10:$O$14,COLUMN('Неопер. ДиР'!J:J)-1,FALSE)</f>
        <v>0</v>
      </c>
      <c r="J33" s="772">
        <f>VLOOKUP($A33,'Неопер. ДиР'!$A$10:$O$14,COLUMN('Неопер. ДиР'!K:K)-1,FALSE)</f>
        <v>0</v>
      </c>
      <c r="K33" s="772">
        <f>VLOOKUP($A33,'Неопер. ДиР'!$A$10:$O$14,COLUMN('Неопер. ДиР'!L:L)-1,FALSE)</f>
        <v>0</v>
      </c>
      <c r="L33" s="772">
        <f>VLOOKUP($A33,'Неопер. ДиР'!$A$10:$O$14,COLUMN('Неопер. ДиР'!M:M)-1,FALSE)</f>
        <v>0</v>
      </c>
      <c r="M33" s="772">
        <f>VLOOKUP($A33,'Неопер. ДиР'!$A$10:$O$14,COLUMN('Неопер. ДиР'!N:N)-1,FALSE)</f>
        <v>0</v>
      </c>
      <c r="N33" s="772">
        <f>VLOOKUP($A33,'Неопер. ДиР'!$A$10:$O$14,COLUMN('Неопер. ДиР'!O:O)-1,FALSE)</f>
        <v>0</v>
      </c>
      <c r="O33" s="781">
        <f>VLOOKUP($A33,'Неопер. ДиР'!$A$10:$O$14,COLUMN('Неопер. ДиР'!P:P)-1,FALSE)</f>
        <v>0</v>
      </c>
    </row>
    <row r="34" spans="1:15" s="1" customFormat="1" ht="12.75">
      <c r="A34" s="165" t="s">
        <v>1</v>
      </c>
      <c r="B34" s="930" t="str">
        <f>VLOOKUP(A34,Справочники!$B:$F,4,FALSE)</f>
        <v>Выплаты от реализации (выбытия) активов</v>
      </c>
      <c r="C34" s="50"/>
      <c r="D34" s="771">
        <f>VLOOKUP($A34,'Неопер. ДиР'!$A$10:$O$14,COLUMN('Неопер. ДиР'!E:E)-1,FALSE)</f>
        <v>0</v>
      </c>
      <c r="E34" s="772">
        <f>VLOOKUP($A34,'Неопер. ДиР'!$A$10:$O$14,COLUMN('Неопер. ДиР'!F:F)-1,FALSE)</f>
        <v>0</v>
      </c>
      <c r="F34" s="772">
        <f>VLOOKUP($A34,'Неопер. ДиР'!$A$10:$O$14,COLUMN('Неопер. ДиР'!G:G)-1,FALSE)</f>
        <v>0</v>
      </c>
      <c r="G34" s="772">
        <f>VLOOKUP($A34,'Неопер. ДиР'!$A$10:$O$14,COLUMN('Неопер. ДиР'!H:H)-1,FALSE)</f>
        <v>0</v>
      </c>
      <c r="H34" s="772">
        <f>VLOOKUP($A34,'Неопер. ДиР'!$A$10:$O$14,COLUMN('Неопер. ДиР'!I:I)-1,FALSE)</f>
        <v>0</v>
      </c>
      <c r="I34" s="772">
        <f>VLOOKUP($A34,'Неопер. ДиР'!$A$10:$O$14,COLUMN('Неопер. ДиР'!J:J)-1,FALSE)</f>
        <v>0</v>
      </c>
      <c r="J34" s="772">
        <f>VLOOKUP($A34,'Неопер. ДиР'!$A$10:$O$14,COLUMN('Неопер. ДиР'!K:K)-1,FALSE)</f>
        <v>0</v>
      </c>
      <c r="K34" s="772">
        <f>VLOOKUP($A34,'Неопер. ДиР'!$A$10:$O$14,COLUMN('Неопер. ДиР'!L:L)-1,FALSE)</f>
        <v>0</v>
      </c>
      <c r="L34" s="772">
        <f>VLOOKUP($A34,'Неопер. ДиР'!$A$10:$O$14,COLUMN('Неопер. ДиР'!M:M)-1,FALSE)</f>
        <v>0</v>
      </c>
      <c r="M34" s="772">
        <f>VLOOKUP($A34,'Неопер. ДиР'!$A$10:$O$14,COLUMN('Неопер. ДиР'!N:N)-1,FALSE)</f>
        <v>0</v>
      </c>
      <c r="N34" s="772">
        <f>VLOOKUP($A34,'Неопер. ДиР'!$A$10:$O$14,COLUMN('Неопер. ДиР'!O:O)-1,FALSE)</f>
        <v>0</v>
      </c>
      <c r="O34" s="781">
        <f>VLOOKUP($A34,'Неопер. ДиР'!$A$10:$O$14,COLUMN('Неопер. ДиР'!P:P)-1,FALSE)</f>
        <v>0</v>
      </c>
    </row>
    <row r="35" spans="1:15" s="1" customFormat="1" ht="12.75">
      <c r="A35" s="165" t="s">
        <v>458</v>
      </c>
      <c r="B35" s="930" t="str">
        <f>VLOOKUP(A35,Справочники!$B:$F,4,FALSE)</f>
        <v>Инвестиционные выплаты</v>
      </c>
      <c r="C35" s="238"/>
      <c r="D35" s="773">
        <f>-Кредиторы!D118</f>
        <v>79655.56131260796</v>
      </c>
      <c r="E35" s="774">
        <f>-Кредиторы!E118</f>
        <v>169215.583315589</v>
      </c>
      <c r="F35" s="774">
        <f>-Кредиторы!F118</f>
        <v>72828.77670523104</v>
      </c>
      <c r="G35" s="774">
        <f>-Кредиторы!G118</f>
        <v>178389.5856105236</v>
      </c>
      <c r="H35" s="774">
        <f>-Кредиторы!H118</f>
        <v>504405.5758629664</v>
      </c>
      <c r="I35" s="774">
        <f>-Кредиторы!I118</f>
        <v>621437.2483261173</v>
      </c>
      <c r="J35" s="774">
        <f>-Кредиторы!J118</f>
        <v>753166.7494735846</v>
      </c>
      <c r="K35" s="774">
        <f>-Кредиторы!K118</f>
        <v>38041.43894764237</v>
      </c>
      <c r="L35" s="774">
        <f>-Кредиторы!L118</f>
        <v>44958.064210850076</v>
      </c>
      <c r="M35" s="774">
        <f>-Кредиторы!M118</f>
        <v>0</v>
      </c>
      <c r="N35" s="774">
        <f>-Кредиторы!N118</f>
        <v>0</v>
      </c>
      <c r="O35" s="782">
        <f>-Кредиторы!O118</f>
        <v>0</v>
      </c>
    </row>
    <row r="36" spans="1:15" s="59" customFormat="1" ht="12.75">
      <c r="A36" s="935"/>
      <c r="B36" s="931" t="s">
        <v>145</v>
      </c>
      <c r="C36" s="258"/>
      <c r="D36" s="261">
        <f>D33-D34-D35</f>
        <v>-79655.56131260796</v>
      </c>
      <c r="E36" s="638">
        <f aca="true" t="shared" si="5" ref="E36:O36">E33-E34-E35</f>
        <v>-169215.583315589</v>
      </c>
      <c r="F36" s="262">
        <f t="shared" si="5"/>
        <v>-72828.77670523104</v>
      </c>
      <c r="G36" s="262">
        <f t="shared" si="5"/>
        <v>-178389.5856105236</v>
      </c>
      <c r="H36" s="262">
        <f t="shared" si="5"/>
        <v>-504405.5758629664</v>
      </c>
      <c r="I36" s="262">
        <f t="shared" si="5"/>
        <v>-621437.2483261173</v>
      </c>
      <c r="J36" s="262">
        <f t="shared" si="5"/>
        <v>-753166.7494735846</v>
      </c>
      <c r="K36" s="262">
        <f t="shared" si="5"/>
        <v>-38041.43894764237</v>
      </c>
      <c r="L36" s="262">
        <f t="shared" si="5"/>
        <v>-44958.064210850076</v>
      </c>
      <c r="M36" s="262">
        <f t="shared" si="5"/>
        <v>0</v>
      </c>
      <c r="N36" s="262">
        <f t="shared" si="5"/>
        <v>0</v>
      </c>
      <c r="O36" s="889">
        <f t="shared" si="5"/>
        <v>0</v>
      </c>
    </row>
    <row r="37" spans="1:15" s="59" customFormat="1" ht="12.75">
      <c r="A37" s="935"/>
      <c r="B37" s="931" t="s">
        <v>146</v>
      </c>
      <c r="C37" s="258"/>
      <c r="D37" s="261">
        <f>D31+D36</f>
        <v>82613.7500324581</v>
      </c>
      <c r="E37" s="638">
        <f aca="true" t="shared" si="6" ref="E37:O37">E31+E36</f>
        <v>-333103.8753126734</v>
      </c>
      <c r="F37" s="262">
        <f t="shared" si="6"/>
        <v>-98198.40861741522</v>
      </c>
      <c r="G37" s="262">
        <f t="shared" si="6"/>
        <v>-281302.86573312874</v>
      </c>
      <c r="H37" s="262">
        <f t="shared" si="6"/>
        <v>40266.5307646264</v>
      </c>
      <c r="I37" s="262">
        <f t="shared" si="6"/>
        <v>3797513.145779712</v>
      </c>
      <c r="J37" s="262">
        <f t="shared" si="6"/>
        <v>9395639.368764477</v>
      </c>
      <c r="K37" s="262">
        <f t="shared" si="6"/>
        <v>1397571.3209841598</v>
      </c>
      <c r="L37" s="262">
        <f t="shared" si="6"/>
        <v>3893292.0058519137</v>
      </c>
      <c r="M37" s="262">
        <f t="shared" si="6"/>
        <v>-115108.13927605192</v>
      </c>
      <c r="N37" s="262">
        <f t="shared" si="6"/>
        <v>-98897.99941588825</v>
      </c>
      <c r="O37" s="889">
        <f t="shared" si="6"/>
        <v>-70590.32530915107</v>
      </c>
    </row>
    <row r="38" spans="1:15" ht="12.75">
      <c r="A38" s="248"/>
      <c r="B38" s="929" t="s">
        <v>147</v>
      </c>
      <c r="C38" s="249"/>
      <c r="D38" s="41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1:15" s="1" customFormat="1" ht="12.75">
      <c r="A39" s="936"/>
      <c r="B39" s="930" t="s">
        <v>359</v>
      </c>
      <c r="C39" s="50"/>
      <c r="D39" s="50">
        <f aca="true" t="shared" si="7" ref="D39:O39">SUM(D40:D46)</f>
        <v>0</v>
      </c>
      <c r="E39" s="350">
        <f t="shared" si="7"/>
        <v>0</v>
      </c>
      <c r="F39" s="49">
        <f t="shared" si="7"/>
        <v>1500000</v>
      </c>
      <c r="G39" s="49">
        <f t="shared" si="7"/>
        <v>0</v>
      </c>
      <c r="H39" s="49">
        <f t="shared" si="7"/>
        <v>300000</v>
      </c>
      <c r="I39" s="49">
        <f t="shared" si="7"/>
        <v>0</v>
      </c>
      <c r="J39" s="49">
        <f t="shared" si="7"/>
        <v>0</v>
      </c>
      <c r="K39" s="49">
        <f t="shared" si="7"/>
        <v>0</v>
      </c>
      <c r="L39" s="49">
        <f t="shared" si="7"/>
        <v>0</v>
      </c>
      <c r="M39" s="49">
        <f t="shared" si="7"/>
        <v>0</v>
      </c>
      <c r="N39" s="49">
        <f t="shared" si="7"/>
        <v>0</v>
      </c>
      <c r="O39" s="888">
        <f t="shared" si="7"/>
        <v>0</v>
      </c>
    </row>
    <row r="40" spans="1:15" ht="12.75">
      <c r="A40" s="164" t="s">
        <v>483</v>
      </c>
      <c r="B40" s="932" t="str">
        <f>VLOOKUP(A40,Справочники!$B:$F,4,FALSE)</f>
        <v>Эмиссия акций</v>
      </c>
      <c r="C40" s="41"/>
      <c r="D40" s="771">
        <f>VLOOKUP($A40,БФД!$A$21:$P$129,COLUMN(БФД!E:E)-1,FALSE)</f>
        <v>0</v>
      </c>
      <c r="E40" s="777">
        <f>VLOOKUP($A40,БФД!$A$21:$P$129,COLUMN(БФД!F:F)-1,FALSE)</f>
        <v>0</v>
      </c>
      <c r="F40" s="772">
        <f>VLOOKUP($A40,БФД!$A$21:$P$129,COLUMN(БФД!G:G)-1,FALSE)</f>
        <v>0</v>
      </c>
      <c r="G40" s="772">
        <f>VLOOKUP($A40,БФД!$A$21:$P$129,COLUMN(БФД!H:H)-1,FALSE)</f>
        <v>0</v>
      </c>
      <c r="H40" s="772">
        <f>VLOOKUP($A40,БФД!$A$21:$P$129,COLUMN(БФД!I:I)-1,FALSE)</f>
        <v>0</v>
      </c>
      <c r="I40" s="772">
        <f>VLOOKUP($A40,БФД!$A$21:$P$129,COLUMN(БФД!J:J)-1,FALSE)</f>
        <v>0</v>
      </c>
      <c r="J40" s="772">
        <f>VLOOKUP($A40,БФД!$A$21:$P$129,COLUMN(БФД!K:K)-1,FALSE)</f>
        <v>0</v>
      </c>
      <c r="K40" s="772">
        <f>VLOOKUP($A40,БФД!$A$21:$P$129,COLUMN(БФД!L:L)-1,FALSE)</f>
        <v>0</v>
      </c>
      <c r="L40" s="772">
        <f>VLOOKUP($A40,БФД!$A$21:$P$129,COLUMN(БФД!M:M)-1,FALSE)</f>
        <v>0</v>
      </c>
      <c r="M40" s="772">
        <f>VLOOKUP($A40,БФД!$A$21:$P$129,COLUMN(БФД!N:N)-1,FALSE)</f>
        <v>0</v>
      </c>
      <c r="N40" s="772">
        <f>VLOOKUP($A40,БФД!$A$21:$P$129,COLUMN(БФД!O:O)-1,FALSE)</f>
        <v>0</v>
      </c>
      <c r="O40" s="781">
        <f>VLOOKUP($A40,БФД!$A$21:$P$129,COLUMN(БФД!P:P)-1,FALSE)</f>
        <v>0</v>
      </c>
    </row>
    <row r="41" spans="1:15" ht="12.75">
      <c r="A41" s="164" t="s">
        <v>352</v>
      </c>
      <c r="B41" s="932" t="str">
        <f>VLOOKUP(A41,Справочники!$B:$F,4,FALSE)</f>
        <v>Прочие поступления от учредителей</v>
      </c>
      <c r="C41" s="41"/>
      <c r="D41" s="771">
        <f>VLOOKUP($A41,БФД!$A$21:$P$129,COLUMN(БФД!E:E)-1,FALSE)</f>
        <v>0</v>
      </c>
      <c r="E41" s="777">
        <f>VLOOKUP($A41,БФД!$A$21:$P$129,COLUMN(БФД!F:F)-1,FALSE)</f>
        <v>0</v>
      </c>
      <c r="F41" s="772">
        <f>VLOOKUP($A41,БФД!$A$21:$P$129,COLUMN(БФД!G:G)-1,FALSE)</f>
        <v>1500000</v>
      </c>
      <c r="G41" s="772">
        <f>VLOOKUP($A41,БФД!$A$21:$P$129,COLUMN(БФД!H:H)-1,FALSE)</f>
        <v>0</v>
      </c>
      <c r="H41" s="772">
        <f>VLOOKUP($A41,БФД!$A$21:$P$129,COLUMN(БФД!I:I)-1,FALSE)</f>
        <v>0</v>
      </c>
      <c r="I41" s="772">
        <f>VLOOKUP($A41,БФД!$A$21:$P$129,COLUMN(БФД!J:J)-1,FALSE)</f>
        <v>0</v>
      </c>
      <c r="J41" s="772">
        <f>VLOOKUP($A41,БФД!$A$21:$P$129,COLUMN(БФД!K:K)-1,FALSE)</f>
        <v>0</v>
      </c>
      <c r="K41" s="772">
        <f>VLOOKUP($A41,БФД!$A$21:$P$129,COLUMN(БФД!L:L)-1,FALSE)</f>
        <v>0</v>
      </c>
      <c r="L41" s="772">
        <f>VLOOKUP($A41,БФД!$A$21:$P$129,COLUMN(БФД!M:M)-1,FALSE)</f>
        <v>0</v>
      </c>
      <c r="M41" s="772">
        <f>VLOOKUP($A41,БФД!$A$21:$P$129,COLUMN(БФД!N:N)-1,FALSE)</f>
        <v>0</v>
      </c>
      <c r="N41" s="772">
        <f>VLOOKUP($A41,БФД!$A$21:$P$129,COLUMN(БФД!O:O)-1,FALSE)</f>
        <v>0</v>
      </c>
      <c r="O41" s="781">
        <f>VLOOKUP($A41,БФД!$A$21:$P$129,COLUMN(БФД!P:P)-1,FALSE)</f>
        <v>0</v>
      </c>
    </row>
    <row r="42" spans="1:15" ht="12.75">
      <c r="A42" s="164" t="s">
        <v>353</v>
      </c>
      <c r="B42" s="932" t="str">
        <f>VLOOKUP(A42,Справочники!$B:$F,4,FALSE)</f>
        <v>Поступления краткосрочных кредитов</v>
      </c>
      <c r="C42" s="41"/>
      <c r="D42" s="771">
        <f>VLOOKUP($A42,БФД!$A$21:$P$129,COLUMN(БФД!E:E)-1,FALSE)</f>
        <v>0</v>
      </c>
      <c r="E42" s="777">
        <f>VLOOKUP($A42,БФД!$A$21:$P$129,COLUMN(БФД!F:F)-1,FALSE)</f>
        <v>0</v>
      </c>
      <c r="F42" s="772">
        <f>VLOOKUP($A42,БФД!$A$21:$P$129,COLUMN(БФД!G:G)-1,FALSE)</f>
        <v>0</v>
      </c>
      <c r="G42" s="772">
        <f>VLOOKUP($A42,БФД!$A$21:$P$129,COLUMN(БФД!H:H)-1,FALSE)</f>
        <v>0</v>
      </c>
      <c r="H42" s="772">
        <f>VLOOKUP($A42,БФД!$A$21:$P$129,COLUMN(БФД!I:I)-1,FALSE)</f>
        <v>300000</v>
      </c>
      <c r="I42" s="772">
        <f>VLOOKUP($A42,БФД!$A$21:$P$129,COLUMN(БФД!J:J)-1,FALSE)</f>
        <v>0</v>
      </c>
      <c r="J42" s="772">
        <f>VLOOKUP($A42,БФД!$A$21:$P$129,COLUMN(БФД!K:K)-1,FALSE)</f>
        <v>0</v>
      </c>
      <c r="K42" s="772">
        <f>VLOOKUP($A42,БФД!$A$21:$P$129,COLUMN(БФД!L:L)-1,FALSE)</f>
        <v>0</v>
      </c>
      <c r="L42" s="772">
        <f>VLOOKUP($A42,БФД!$A$21:$P$129,COLUMN(БФД!M:M)-1,FALSE)</f>
        <v>0</v>
      </c>
      <c r="M42" s="772">
        <f>VLOOKUP($A42,БФД!$A$21:$P$129,COLUMN(БФД!N:N)-1,FALSE)</f>
        <v>0</v>
      </c>
      <c r="N42" s="772">
        <f>VLOOKUP($A42,БФД!$A$21:$P$129,COLUMN(БФД!O:O)-1,FALSE)</f>
        <v>0</v>
      </c>
      <c r="O42" s="781">
        <f>VLOOKUP($A42,БФД!$A$21:$P$129,COLUMN(БФД!P:P)-1,FALSE)</f>
        <v>0</v>
      </c>
    </row>
    <row r="43" spans="1:15" ht="12.75">
      <c r="A43" s="164" t="s">
        <v>354</v>
      </c>
      <c r="B43" s="932" t="str">
        <f>VLOOKUP(A43,Справочники!$B:$F,4,FALSE)</f>
        <v>Поступления долгосрочных кредитов</v>
      </c>
      <c r="C43" s="41"/>
      <c r="D43" s="771">
        <f>VLOOKUP($A43,БФД!$A$21:$P$129,COLUMN(БФД!E:E)-1,FALSE)</f>
        <v>0</v>
      </c>
      <c r="E43" s="777">
        <f>VLOOKUP($A43,БФД!$A$21:$P$129,COLUMN(БФД!F:F)-1,FALSE)</f>
        <v>0</v>
      </c>
      <c r="F43" s="772">
        <f>VLOOKUP($A43,БФД!$A$21:$P$129,COLUMN(БФД!G:G)-1,FALSE)</f>
        <v>0</v>
      </c>
      <c r="G43" s="772">
        <f>VLOOKUP($A43,БФД!$A$21:$P$129,COLUMN(БФД!H:H)-1,FALSE)</f>
        <v>0</v>
      </c>
      <c r="H43" s="772">
        <f>VLOOKUP($A43,БФД!$A$21:$P$129,COLUMN(БФД!I:I)-1,FALSE)</f>
        <v>0</v>
      </c>
      <c r="I43" s="772">
        <f>VLOOKUP($A43,БФД!$A$21:$P$129,COLUMN(БФД!J:J)-1,FALSE)</f>
        <v>0</v>
      </c>
      <c r="J43" s="772">
        <f>VLOOKUP($A43,БФД!$A$21:$P$129,COLUMN(БФД!K:K)-1,FALSE)</f>
        <v>0</v>
      </c>
      <c r="K43" s="772">
        <f>VLOOKUP($A43,БФД!$A$21:$P$129,COLUMN(БФД!L:L)-1,FALSE)</f>
        <v>0</v>
      </c>
      <c r="L43" s="772">
        <f>VLOOKUP($A43,БФД!$A$21:$P$129,COLUMN(БФД!M:M)-1,FALSE)</f>
        <v>0</v>
      </c>
      <c r="M43" s="772">
        <f>VLOOKUP($A43,БФД!$A$21:$P$129,COLUMN(БФД!N:N)-1,FALSE)</f>
        <v>0</v>
      </c>
      <c r="N43" s="772">
        <f>VLOOKUP($A43,БФД!$A$21:$P$129,COLUMN(БФД!O:O)-1,FALSE)</f>
        <v>0</v>
      </c>
      <c r="O43" s="781">
        <f>VLOOKUP($A43,БФД!$A$21:$P$129,COLUMN(БФД!P:P)-1,FALSE)</f>
        <v>0</v>
      </c>
    </row>
    <row r="44" spans="1:15" ht="12.75">
      <c r="A44" s="164" t="s">
        <v>355</v>
      </c>
      <c r="B44" s="932" t="str">
        <f>VLOOKUP(A44,Справочники!$B:$F,4,FALSE)</f>
        <v>Поступления займов</v>
      </c>
      <c r="C44" s="41"/>
      <c r="D44" s="771">
        <f>VLOOKUP($A44,БФД!$A$21:$P$129,COLUMN(БФД!E:E)-1,FALSE)</f>
        <v>0</v>
      </c>
      <c r="E44" s="777">
        <f>VLOOKUP($A44,БФД!$A$21:$P$129,COLUMN(БФД!F:F)-1,FALSE)</f>
        <v>0</v>
      </c>
      <c r="F44" s="772">
        <f>VLOOKUP($A44,БФД!$A$21:$P$129,COLUMN(БФД!G:G)-1,FALSE)</f>
        <v>0</v>
      </c>
      <c r="G44" s="772">
        <f>VLOOKUP($A44,БФД!$A$21:$P$129,COLUMN(БФД!H:H)-1,FALSE)</f>
        <v>0</v>
      </c>
      <c r="H44" s="772">
        <f>VLOOKUP($A44,БФД!$A$21:$P$129,COLUMN(БФД!I:I)-1,FALSE)</f>
        <v>0</v>
      </c>
      <c r="I44" s="772">
        <f>VLOOKUP($A44,БФД!$A$21:$P$129,COLUMN(БФД!J:J)-1,FALSE)</f>
        <v>0</v>
      </c>
      <c r="J44" s="772">
        <f>VLOOKUP($A44,БФД!$A$21:$P$129,COLUMN(БФД!K:K)-1,FALSE)</f>
        <v>0</v>
      </c>
      <c r="K44" s="772">
        <f>VLOOKUP($A44,БФД!$A$21:$P$129,COLUMN(БФД!L:L)-1,FALSE)</f>
        <v>0</v>
      </c>
      <c r="L44" s="772">
        <f>VLOOKUP($A44,БФД!$A$21:$P$129,COLUMN(БФД!M:M)-1,FALSE)</f>
        <v>0</v>
      </c>
      <c r="M44" s="772">
        <f>VLOOKUP($A44,БФД!$A$21:$P$129,COLUMN(БФД!N:N)-1,FALSE)</f>
        <v>0</v>
      </c>
      <c r="N44" s="772">
        <f>VLOOKUP($A44,БФД!$A$21:$P$129,COLUMN(БФД!O:O)-1,FALSE)</f>
        <v>0</v>
      </c>
      <c r="O44" s="781">
        <f>VLOOKUP($A44,БФД!$A$21:$P$129,COLUMN(БФД!P:P)-1,FALSE)</f>
        <v>0</v>
      </c>
    </row>
    <row r="45" spans="1:15" ht="12.75">
      <c r="A45" s="164" t="s">
        <v>357</v>
      </c>
      <c r="B45" s="932" t="str">
        <f>VLOOKUP(A45,Справочники!$B:$F,4,FALSE)</f>
        <v>Возврат  депозитов</v>
      </c>
      <c r="C45" s="41"/>
      <c r="D45" s="771">
        <f>VLOOKUP($A45,БФД!$A$21:$P$129,COLUMN(БФД!E:E)-1,FALSE)</f>
        <v>0</v>
      </c>
      <c r="E45" s="777">
        <f>VLOOKUP($A45,БФД!$A$21:$P$129,COLUMN(БФД!F:F)-1,FALSE)</f>
        <v>0</v>
      </c>
      <c r="F45" s="772">
        <f>VLOOKUP($A45,БФД!$A$21:$P$129,COLUMN(БФД!G:G)-1,FALSE)</f>
        <v>0</v>
      </c>
      <c r="G45" s="772">
        <f>VLOOKUP($A45,БФД!$A$21:$P$129,COLUMN(БФД!H:H)-1,FALSE)</f>
        <v>0</v>
      </c>
      <c r="H45" s="772">
        <f>VLOOKUP($A45,БФД!$A$21:$P$129,COLUMN(БФД!I:I)-1,FALSE)</f>
        <v>0</v>
      </c>
      <c r="I45" s="772">
        <f>VLOOKUP($A45,БФД!$A$21:$P$129,COLUMN(БФД!J:J)-1,FALSE)</f>
        <v>0</v>
      </c>
      <c r="J45" s="772">
        <f>VLOOKUP($A45,БФД!$A$21:$P$129,COLUMN(БФД!K:K)-1,FALSE)</f>
        <v>0</v>
      </c>
      <c r="K45" s="772">
        <f>VLOOKUP($A45,БФД!$A$21:$P$129,COLUMN(БФД!L:L)-1,FALSE)</f>
        <v>0</v>
      </c>
      <c r="L45" s="772">
        <f>VLOOKUP($A45,БФД!$A$21:$P$129,COLUMN(БФД!M:M)-1,FALSE)</f>
        <v>0</v>
      </c>
      <c r="M45" s="772">
        <f>VLOOKUP($A45,БФД!$A$21:$P$129,COLUMN(БФД!N:N)-1,FALSE)</f>
        <v>0</v>
      </c>
      <c r="N45" s="772">
        <f>VLOOKUP($A45,БФД!$A$21:$P$129,COLUMN(БФД!O:O)-1,FALSE)</f>
        <v>0</v>
      </c>
      <c r="O45" s="781">
        <f>VLOOKUP($A45,БФД!$A$21:$P$129,COLUMN(БФД!P:P)-1,FALSE)</f>
        <v>0</v>
      </c>
    </row>
    <row r="46" spans="1:15" ht="12.75">
      <c r="A46" s="164" t="s">
        <v>358</v>
      </c>
      <c r="B46" s="932" t="str">
        <f>VLOOKUP(A46,Справочники!$B:$F,4,FALSE)</f>
        <v>Проценты по депозитам полученные</v>
      </c>
      <c r="C46" s="41"/>
      <c r="D46" s="771">
        <f>VLOOKUP($A46,БФД!$A$21:$P$129,COLUMN(БФД!E:E)-1,FALSE)</f>
        <v>0</v>
      </c>
      <c r="E46" s="777">
        <f>VLOOKUP($A46,БФД!$A$21:$P$129,COLUMN(БФД!F:F)-1,FALSE)</f>
        <v>0</v>
      </c>
      <c r="F46" s="772">
        <f>VLOOKUP($A46,БФД!$A$21:$P$129,COLUMN(БФД!G:G)-1,FALSE)</f>
        <v>0</v>
      </c>
      <c r="G46" s="772">
        <f>VLOOKUP($A46,БФД!$A$21:$P$129,COLUMN(БФД!H:H)-1,FALSE)</f>
        <v>0</v>
      </c>
      <c r="H46" s="772">
        <f>VLOOKUP($A46,БФД!$A$21:$P$129,COLUMN(БФД!I:I)-1,FALSE)</f>
        <v>0</v>
      </c>
      <c r="I46" s="772">
        <f>VLOOKUP($A46,БФД!$A$21:$P$129,COLUMN(БФД!J:J)-1,FALSE)</f>
        <v>0</v>
      </c>
      <c r="J46" s="772">
        <f>VLOOKUP($A46,БФД!$A$21:$P$129,COLUMN(БФД!K:K)-1,FALSE)</f>
        <v>0</v>
      </c>
      <c r="K46" s="772">
        <f>VLOOKUP($A46,БФД!$A$21:$P$129,COLUMN(БФД!L:L)-1,FALSE)</f>
        <v>0</v>
      </c>
      <c r="L46" s="772">
        <f>VLOOKUP($A46,БФД!$A$21:$P$129,COLUMN(БФД!M:M)-1,FALSE)</f>
        <v>0</v>
      </c>
      <c r="M46" s="772">
        <f>VLOOKUP($A46,БФД!$A$21:$P$129,COLUMN(БФД!N:N)-1,FALSE)</f>
        <v>0</v>
      </c>
      <c r="N46" s="772">
        <f>VLOOKUP($A46,БФД!$A$21:$P$129,COLUMN(БФД!O:O)-1,FALSE)</f>
        <v>0</v>
      </c>
      <c r="O46" s="781">
        <f>VLOOKUP($A46,БФД!$A$21:$P$129,COLUMN(БФД!P:P)-1,FALSE)</f>
        <v>0</v>
      </c>
    </row>
    <row r="47" spans="1:15" s="1" customFormat="1" ht="12.75">
      <c r="A47" s="936"/>
      <c r="B47" s="930" t="s">
        <v>360</v>
      </c>
      <c r="C47" s="250"/>
      <c r="D47" s="50">
        <f aca="true" t="shared" si="8" ref="D47:O47">SUM(D48:D53)</f>
        <v>8333</v>
      </c>
      <c r="E47" s="350">
        <f t="shared" si="8"/>
        <v>24999</v>
      </c>
      <c r="F47" s="49">
        <f t="shared" si="8"/>
        <v>24999</v>
      </c>
      <c r="G47" s="49">
        <f t="shared" si="8"/>
        <v>24999</v>
      </c>
      <c r="H47" s="49">
        <f t="shared" si="8"/>
        <v>66670</v>
      </c>
      <c r="I47" s="49">
        <f t="shared" si="8"/>
        <v>250000</v>
      </c>
      <c r="J47" s="49">
        <f t="shared" si="8"/>
        <v>0</v>
      </c>
      <c r="K47" s="49">
        <f t="shared" si="8"/>
        <v>0</v>
      </c>
      <c r="L47" s="49">
        <f t="shared" si="8"/>
        <v>0</v>
      </c>
      <c r="M47" s="49">
        <f t="shared" si="8"/>
        <v>0</v>
      </c>
      <c r="N47" s="49">
        <f t="shared" si="8"/>
        <v>0</v>
      </c>
      <c r="O47" s="888">
        <f t="shared" si="8"/>
        <v>0</v>
      </c>
    </row>
    <row r="48" spans="1:15" ht="12.75">
      <c r="A48" s="164" t="s">
        <v>2</v>
      </c>
      <c r="B48" s="932" t="str">
        <f>VLOOKUP(A48,Справочники!$B:$F,4,FALSE)</f>
        <v>Выкуп собственных акций</v>
      </c>
      <c r="C48" s="249"/>
      <c r="D48" s="771">
        <f>VLOOKUP($A48,БФД!$A$21:$P$129,COLUMN(БФД!E:E)-1,FALSE)</f>
        <v>0</v>
      </c>
      <c r="E48" s="777">
        <f>VLOOKUP($A48,БФД!$A$21:$P$129,COLUMN(БФД!F:F)-1,FALSE)</f>
        <v>0</v>
      </c>
      <c r="F48" s="772">
        <f>VLOOKUP($A48,БФД!$A$21:$P$129,COLUMN(БФД!G:G)-1,FALSE)</f>
        <v>0</v>
      </c>
      <c r="G48" s="772">
        <f>VLOOKUP($A48,БФД!$A$21:$P$129,COLUMN(БФД!H:H)-1,FALSE)</f>
        <v>0</v>
      </c>
      <c r="H48" s="772">
        <f>VLOOKUP($A48,БФД!$A$21:$P$129,COLUMN(БФД!I:I)-1,FALSE)</f>
        <v>0</v>
      </c>
      <c r="I48" s="772">
        <f>VLOOKUP($A48,БФД!$A$21:$P$129,COLUMN(БФД!J:J)-1,FALSE)</f>
        <v>0</v>
      </c>
      <c r="J48" s="772">
        <f>VLOOKUP($A48,БФД!$A$21:$P$129,COLUMN(БФД!K:K)-1,FALSE)</f>
        <v>0</v>
      </c>
      <c r="K48" s="772">
        <f>VLOOKUP($A48,БФД!$A$21:$P$129,COLUMN(БФД!L:L)-1,FALSE)</f>
        <v>0</v>
      </c>
      <c r="L48" s="772">
        <f>VLOOKUP($A48,БФД!$A$21:$P$129,COLUMN(БФД!M:M)-1,FALSE)</f>
        <v>0</v>
      </c>
      <c r="M48" s="772">
        <f>VLOOKUP($A48,БФД!$A$21:$P$129,COLUMN(БФД!N:N)-1,FALSE)</f>
        <v>0</v>
      </c>
      <c r="N48" s="772">
        <f>VLOOKUP($A48,БФД!$A$21:$P$129,COLUMN(БФД!O:O)-1,FALSE)</f>
        <v>0</v>
      </c>
      <c r="O48" s="781">
        <f>VLOOKUP($A48,БФД!$A$21:$P$129,COLUMN(БФД!P:P)-1,FALSE)</f>
        <v>0</v>
      </c>
    </row>
    <row r="49" spans="1:15" ht="12.75">
      <c r="A49" s="164" t="s">
        <v>361</v>
      </c>
      <c r="B49" s="932" t="str">
        <f>VLOOKUP(A49,Справочники!$B:$F,4,FALSE)</f>
        <v>Выплаты дивидендов</v>
      </c>
      <c r="C49" s="545"/>
      <c r="D49" s="778">
        <v>0</v>
      </c>
      <c r="E49" s="779">
        <v>0</v>
      </c>
      <c r="F49" s="780">
        <v>0</v>
      </c>
      <c r="G49" s="780">
        <v>0</v>
      </c>
      <c r="H49" s="780"/>
      <c r="I49" s="780"/>
      <c r="J49" s="780"/>
      <c r="K49" s="780"/>
      <c r="L49" s="780"/>
      <c r="M49" s="780"/>
      <c r="N49" s="780"/>
      <c r="O49" s="891"/>
    </row>
    <row r="50" spans="1:15" ht="12.75">
      <c r="A50" s="164" t="s">
        <v>362</v>
      </c>
      <c r="B50" s="932" t="str">
        <f>VLOOKUP(A50,Справочники!$B:$F,4,FALSE)</f>
        <v>Выплаты краткосрочных кредитов</v>
      </c>
      <c r="C50" s="249"/>
      <c r="D50" s="771">
        <f>VLOOKUP($A50,БФД!$A$21:$P$129,COLUMN(БФД!E:E)-1,FALSE)</f>
        <v>8333</v>
      </c>
      <c r="E50" s="777">
        <f>VLOOKUP($A50,БФД!$A$21:$P$129,COLUMN(БФД!F:F)-1,FALSE)</f>
        <v>24999</v>
      </c>
      <c r="F50" s="772">
        <f>VLOOKUP($A50,БФД!$A$21:$P$129,COLUMN(БФД!G:G)-1,FALSE)</f>
        <v>24999</v>
      </c>
      <c r="G50" s="772">
        <f>VLOOKUP($A50,БФД!$A$21:$P$129,COLUMN(БФД!H:H)-1,FALSE)</f>
        <v>24999</v>
      </c>
      <c r="H50" s="772">
        <f>VLOOKUP($A50,БФД!$A$21:$P$129,COLUMN(БФД!I:I)-1,FALSE)</f>
        <v>66670</v>
      </c>
      <c r="I50" s="772">
        <f>VLOOKUP($A50,БФД!$A$21:$P$129,COLUMN(БФД!J:J)-1,FALSE)</f>
        <v>250000</v>
      </c>
      <c r="J50" s="772">
        <f>VLOOKUP($A50,БФД!$A$21:$P$129,COLUMN(БФД!K:K)-1,FALSE)</f>
        <v>0</v>
      </c>
      <c r="K50" s="772">
        <f>VLOOKUP($A50,БФД!$A$21:$P$129,COLUMN(БФД!L:L)-1,FALSE)</f>
        <v>0</v>
      </c>
      <c r="L50" s="772">
        <f>VLOOKUP($A50,БФД!$A$21:$P$129,COLUMN(БФД!M:M)-1,FALSE)</f>
        <v>0</v>
      </c>
      <c r="M50" s="772">
        <f>VLOOKUP($A50,БФД!$A$21:$P$129,COLUMN(БФД!N:N)-1,FALSE)</f>
        <v>0</v>
      </c>
      <c r="N50" s="772">
        <f>VLOOKUP($A50,БФД!$A$21:$P$129,COLUMN(БФД!O:O)-1,FALSE)</f>
        <v>0</v>
      </c>
      <c r="O50" s="781">
        <f>VLOOKUP($A50,БФД!$A$21:$P$129,COLUMN(БФД!P:P)-1,FALSE)</f>
        <v>0</v>
      </c>
    </row>
    <row r="51" spans="1:15" ht="12.75">
      <c r="A51" s="164" t="s">
        <v>363</v>
      </c>
      <c r="B51" s="932" t="str">
        <f>VLOOKUP(A51,Справочники!$B:$F,4,FALSE)</f>
        <v>Выплаты долгосрочных кредитов</v>
      </c>
      <c r="C51" s="249"/>
      <c r="D51" s="771">
        <f>VLOOKUP($A51,БФД!$A$21:$P$129,COLUMN(БФД!E:E)-1,FALSE)</f>
        <v>0</v>
      </c>
      <c r="E51" s="777">
        <f>VLOOKUP($A51,БФД!$A$21:$P$129,COLUMN(БФД!F:F)-1,FALSE)</f>
        <v>0</v>
      </c>
      <c r="F51" s="772">
        <f>VLOOKUP($A51,БФД!$A$21:$P$129,COLUMN(БФД!G:G)-1,FALSE)</f>
        <v>0</v>
      </c>
      <c r="G51" s="772">
        <f>VLOOKUP($A51,БФД!$A$21:$P$129,COLUMN(БФД!H:H)-1,FALSE)</f>
        <v>0</v>
      </c>
      <c r="H51" s="772">
        <f>VLOOKUP($A51,БФД!$A$21:$P$129,COLUMN(БФД!I:I)-1,FALSE)</f>
        <v>0</v>
      </c>
      <c r="I51" s="772">
        <f>VLOOKUP($A51,БФД!$A$21:$P$129,COLUMN(БФД!J:J)-1,FALSE)</f>
        <v>0</v>
      </c>
      <c r="J51" s="772">
        <f>VLOOKUP($A51,БФД!$A$21:$P$129,COLUMN(БФД!K:K)-1,FALSE)</f>
        <v>0</v>
      </c>
      <c r="K51" s="772">
        <f>VLOOKUP($A51,БФД!$A$21:$P$129,COLUMN(БФД!L:L)-1,FALSE)</f>
        <v>0</v>
      </c>
      <c r="L51" s="772">
        <f>VLOOKUP($A51,БФД!$A$21:$P$129,COLUMN(БФД!M:M)-1,FALSE)</f>
        <v>0</v>
      </c>
      <c r="M51" s="772">
        <f>VLOOKUP($A51,БФД!$A$21:$P$129,COLUMN(БФД!N:N)-1,FALSE)</f>
        <v>0</v>
      </c>
      <c r="N51" s="772">
        <f>VLOOKUP($A51,БФД!$A$21:$P$129,COLUMN(БФД!O:O)-1,FALSE)</f>
        <v>0</v>
      </c>
      <c r="O51" s="781">
        <f>VLOOKUP($A51,БФД!$A$21:$P$129,COLUMN(БФД!P:P)-1,FALSE)</f>
        <v>0</v>
      </c>
    </row>
    <row r="52" spans="1:15" ht="12.75">
      <c r="A52" s="164" t="s">
        <v>364</v>
      </c>
      <c r="B52" s="932" t="str">
        <f>VLOOKUP(A52,Справочники!$B:$F,4,FALSE)</f>
        <v>Выплаты займов</v>
      </c>
      <c r="C52" s="249"/>
      <c r="D52" s="771">
        <f>VLOOKUP($A52,БФД!$A$21:$P$129,COLUMN(БФД!E:E)-1,FALSE)</f>
        <v>0</v>
      </c>
      <c r="E52" s="777">
        <f>VLOOKUP($A52,БФД!$A$21:$P$129,COLUMN(БФД!F:F)-1,FALSE)</f>
        <v>0</v>
      </c>
      <c r="F52" s="772">
        <f>VLOOKUP($A52,БФД!$A$21:$P$129,COLUMN(БФД!G:G)-1,FALSE)</f>
        <v>0</v>
      </c>
      <c r="G52" s="772">
        <f>VLOOKUP($A52,БФД!$A$21:$P$129,COLUMN(БФД!H:H)-1,FALSE)</f>
        <v>0</v>
      </c>
      <c r="H52" s="772">
        <f>VLOOKUP($A52,БФД!$A$21:$P$129,COLUMN(БФД!I:I)-1,FALSE)</f>
        <v>0</v>
      </c>
      <c r="I52" s="772">
        <f>VLOOKUP($A52,БФД!$A$21:$P$129,COLUMN(БФД!J:J)-1,FALSE)</f>
        <v>0</v>
      </c>
      <c r="J52" s="772">
        <f>VLOOKUP($A52,БФД!$A$21:$P$129,COLUMN(БФД!K:K)-1,FALSE)</f>
        <v>0</v>
      </c>
      <c r="K52" s="772">
        <f>VLOOKUP($A52,БФД!$A$21:$P$129,COLUMN(БФД!L:L)-1,FALSE)</f>
        <v>0</v>
      </c>
      <c r="L52" s="772">
        <f>VLOOKUP($A52,БФД!$A$21:$P$129,COLUMN(БФД!M:M)-1,FALSE)</f>
        <v>0</v>
      </c>
      <c r="M52" s="772">
        <f>VLOOKUP($A52,БФД!$A$21:$P$129,COLUMN(БФД!N:N)-1,FALSE)</f>
        <v>0</v>
      </c>
      <c r="N52" s="772">
        <f>VLOOKUP($A52,БФД!$A$21:$P$129,COLUMN(БФД!O:O)-1,FALSE)</f>
        <v>0</v>
      </c>
      <c r="O52" s="781">
        <f>VLOOKUP($A52,БФД!$A$21:$P$129,COLUMN(БФД!P:P)-1,FALSE)</f>
        <v>0</v>
      </c>
    </row>
    <row r="53" spans="1:15" ht="12.75">
      <c r="A53" s="164" t="s">
        <v>367</v>
      </c>
      <c r="B53" s="932" t="str">
        <f>VLOOKUP(A53,Справочники!$B:$F,4,FALSE)</f>
        <v>Размещение свободных ДС на депозитах</v>
      </c>
      <c r="C53" s="249"/>
      <c r="D53" s="771">
        <f>VLOOKUP($A53,БФД!$A$21:$P$129,COLUMN(БФД!E:E)-1,FALSE)</f>
        <v>0</v>
      </c>
      <c r="E53" s="777">
        <f>VLOOKUP($A53,БФД!$A$21:$P$129,COLUMN(БФД!F:F)-1,FALSE)</f>
        <v>0</v>
      </c>
      <c r="F53" s="772">
        <f>VLOOKUP($A53,БФД!$A$21:$P$129,COLUMN(БФД!G:G)-1,FALSE)</f>
        <v>0</v>
      </c>
      <c r="G53" s="772">
        <f>VLOOKUP($A53,БФД!$A$21:$P$129,COLUMN(БФД!H:H)-1,FALSE)</f>
        <v>0</v>
      </c>
      <c r="H53" s="772">
        <f>VLOOKUP($A53,БФД!$A$21:$P$129,COLUMN(БФД!I:I)-1,FALSE)</f>
        <v>0</v>
      </c>
      <c r="I53" s="772">
        <f>VLOOKUP($A53,БФД!$A$21:$P$129,COLUMN(БФД!J:J)-1,FALSE)</f>
        <v>0</v>
      </c>
      <c r="J53" s="772">
        <f>VLOOKUP($A53,БФД!$A$21:$P$129,COLUMN(БФД!K:K)-1,FALSE)</f>
        <v>0</v>
      </c>
      <c r="K53" s="772">
        <f>VLOOKUP($A53,БФД!$A$21:$P$129,COLUMN(БФД!L:L)-1,FALSE)</f>
        <v>0</v>
      </c>
      <c r="L53" s="772">
        <f>VLOOKUP($A53,БФД!$A$21:$P$129,COLUMN(БФД!M:M)-1,FALSE)</f>
        <v>0</v>
      </c>
      <c r="M53" s="772">
        <f>VLOOKUP($A53,БФД!$A$21:$P$129,COLUMN(БФД!N:N)-1,FALSE)</f>
        <v>0</v>
      </c>
      <c r="N53" s="772">
        <f>VLOOKUP($A53,БФД!$A$21:$P$129,COLUMN(БФД!O:O)-1,FALSE)</f>
        <v>0</v>
      </c>
      <c r="O53" s="781">
        <f>VLOOKUP($A53,БФД!$A$21:$P$129,COLUMN(БФД!P:P)-1,FALSE)</f>
        <v>0</v>
      </c>
    </row>
    <row r="54" spans="1:15" s="1" customFormat="1" ht="12.75">
      <c r="A54" s="165" t="s">
        <v>107</v>
      </c>
      <c r="B54" s="245" t="str">
        <f>VLOOKUP(A54,Справочники!$B:$F,4,FALSE)</f>
        <v>Расходы на финансирование</v>
      </c>
      <c r="C54" s="251"/>
      <c r="D54" s="50">
        <f aca="true" t="shared" si="9" ref="D54:O54">SUM(D55:D57)</f>
        <v>2674</v>
      </c>
      <c r="E54" s="350">
        <f t="shared" si="9"/>
        <v>2062.5074999999997</v>
      </c>
      <c r="F54" s="49">
        <f t="shared" si="9"/>
        <v>1374.8608299999999</v>
      </c>
      <c r="G54" s="49">
        <f t="shared" si="9"/>
        <v>687.95519</v>
      </c>
      <c r="H54" s="49">
        <f t="shared" si="9"/>
        <v>23313</v>
      </c>
      <c r="I54" s="49">
        <f t="shared" si="9"/>
        <v>10312.5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  <c r="N54" s="49">
        <f t="shared" si="9"/>
        <v>0</v>
      </c>
      <c r="O54" s="888">
        <f t="shared" si="9"/>
        <v>0</v>
      </c>
    </row>
    <row r="55" spans="1:15" ht="12.75">
      <c r="A55" s="164" t="s">
        <v>108</v>
      </c>
      <c r="B55" s="932" t="str">
        <f>VLOOKUP(A55,Справочники!$B:$F,4,FALSE)</f>
        <v>Проценты по долгосрочным кредитам банков выплаченные</v>
      </c>
      <c r="C55" s="527"/>
      <c r="D55" s="771">
        <f>VLOOKUP($A55,БФД!$A$21:$P$129,COLUMN(БФД!E:E)-1,FALSE)</f>
        <v>0</v>
      </c>
      <c r="E55" s="772">
        <f>VLOOKUP($A55,БФД!$A$21:$P$129,COLUMN(БФД!F:F)-1,FALSE)</f>
        <v>0</v>
      </c>
      <c r="F55" s="772">
        <f>VLOOKUP($A55,БФД!$A$21:$P$129,COLUMN(БФД!G:G)-1,FALSE)</f>
        <v>0</v>
      </c>
      <c r="G55" s="772">
        <f>VLOOKUP($A55,БФД!$A$21:$P$129,COLUMN(БФД!H:H)-1,FALSE)</f>
        <v>0</v>
      </c>
      <c r="H55" s="772">
        <f>VLOOKUP($A55,БФД!$A$21:$P$129,COLUMN(БФД!I:I)-1,FALSE)</f>
        <v>0</v>
      </c>
      <c r="I55" s="772">
        <f>VLOOKUP($A55,БФД!$A$21:$P$129,COLUMN(БФД!J:J)-1,FALSE)</f>
        <v>0</v>
      </c>
      <c r="J55" s="772">
        <f>VLOOKUP($A55,БФД!$A$21:$P$129,COLUMN(БФД!K:K)-1,FALSE)</f>
        <v>0</v>
      </c>
      <c r="K55" s="772">
        <f>VLOOKUP($A55,БФД!$A$21:$P$129,COLUMN(БФД!L:L)-1,FALSE)</f>
        <v>0</v>
      </c>
      <c r="L55" s="772">
        <f>VLOOKUP($A55,БФД!$A$21:$P$129,COLUMN(БФД!M:M)-1,FALSE)</f>
        <v>0</v>
      </c>
      <c r="M55" s="772">
        <f>VLOOKUP($A55,БФД!$A$21:$P$129,COLUMN(БФД!N:N)-1,FALSE)</f>
        <v>0</v>
      </c>
      <c r="N55" s="772">
        <f>VLOOKUP($A55,БФД!$A$21:$P$129,COLUMN(БФД!O:O)-1,FALSE)</f>
        <v>0</v>
      </c>
      <c r="O55" s="781">
        <f>VLOOKUP($A55,БФД!$A$21:$P$129,COLUMN(БФД!P:P)-1,FALSE)</f>
        <v>0</v>
      </c>
    </row>
    <row r="56" spans="1:15" ht="12.75">
      <c r="A56" s="164" t="s">
        <v>109</v>
      </c>
      <c r="B56" s="932" t="str">
        <f>VLOOKUP(A56,Справочники!$B:$F,4,FALSE)</f>
        <v>Проценты по краткосрочным кредитам банков выплаченные</v>
      </c>
      <c r="C56" s="527"/>
      <c r="D56" s="771">
        <f>VLOOKUP($A56,БФД!$A$21:$P$129,COLUMN(БФД!E:E)-1,FALSE)</f>
        <v>2674</v>
      </c>
      <c r="E56" s="772">
        <f>VLOOKUP($A56,БФД!$A$21:$P$129,COLUMN(БФД!F:F)-1,FALSE)</f>
        <v>2062.5074999999997</v>
      </c>
      <c r="F56" s="772">
        <f>VLOOKUP($A56,БФД!$A$21:$P$129,COLUMN(БФД!G:G)-1,FALSE)</f>
        <v>1374.8608299999999</v>
      </c>
      <c r="G56" s="772">
        <f>VLOOKUP($A56,БФД!$A$21:$P$129,COLUMN(БФД!H:H)-1,FALSE)</f>
        <v>687.95519</v>
      </c>
      <c r="H56" s="772">
        <f>VLOOKUP($A56,БФД!$A$21:$P$129,COLUMN(БФД!I:I)-1,FALSE)</f>
        <v>23313</v>
      </c>
      <c r="I56" s="772">
        <f>VLOOKUP($A56,БФД!$A$21:$P$129,COLUMN(БФД!J:J)-1,FALSE)</f>
        <v>10312.5</v>
      </c>
      <c r="J56" s="772">
        <f>VLOOKUP($A56,БФД!$A$21:$P$129,COLUMN(БФД!K:K)-1,FALSE)</f>
        <v>0</v>
      </c>
      <c r="K56" s="772">
        <f>VLOOKUP($A56,БФД!$A$21:$P$129,COLUMN(БФД!L:L)-1,FALSE)</f>
        <v>0</v>
      </c>
      <c r="L56" s="772">
        <f>VLOOKUP($A56,БФД!$A$21:$P$129,COLUMN(БФД!M:M)-1,FALSE)</f>
        <v>0</v>
      </c>
      <c r="M56" s="772">
        <f>VLOOKUP($A56,БФД!$A$21:$P$129,COLUMN(БФД!N:N)-1,FALSE)</f>
        <v>0</v>
      </c>
      <c r="N56" s="772">
        <f>VLOOKUP($A56,БФД!$A$21:$P$129,COLUMN(БФД!O:O)-1,FALSE)</f>
        <v>0</v>
      </c>
      <c r="O56" s="781">
        <f>VLOOKUP($A56,БФД!$A$21:$P$129,COLUMN(БФД!P:P)-1,FALSE)</f>
        <v>0</v>
      </c>
    </row>
    <row r="57" spans="1:15" ht="12.75">
      <c r="A57" s="164" t="s">
        <v>525</v>
      </c>
      <c r="B57" s="932" t="str">
        <f>VLOOKUP(A57,Справочники!$B:$F,4,FALSE)</f>
        <v>Проценты по займам выплаченные</v>
      </c>
      <c r="C57" s="527"/>
      <c r="D57" s="773">
        <f>VLOOKUP($A57,БФД!$A$21:$P$129,COLUMN(БФД!E:E)-1,FALSE)</f>
        <v>0</v>
      </c>
      <c r="E57" s="774">
        <f>VLOOKUP($A57,БФД!$A$21:$P$129,COLUMN(БФД!F:F)-1,FALSE)</f>
        <v>0</v>
      </c>
      <c r="F57" s="774">
        <f>VLOOKUP($A57,БФД!$A$21:$P$129,COLUMN(БФД!G:G)-1,FALSE)</f>
        <v>0</v>
      </c>
      <c r="G57" s="774">
        <f>VLOOKUP($A57,БФД!$A$21:$P$129,COLUMN(БФД!H:H)-1,FALSE)</f>
        <v>0</v>
      </c>
      <c r="H57" s="774">
        <f>VLOOKUP($A57,БФД!$A$21:$P$129,COLUMN(БФД!I:I)-1,FALSE)</f>
        <v>0</v>
      </c>
      <c r="I57" s="774">
        <f>VLOOKUP($A57,БФД!$A$21:$P$129,COLUMN(БФД!J:J)-1,FALSE)</f>
        <v>0</v>
      </c>
      <c r="J57" s="774">
        <f>VLOOKUP($A57,БФД!$A$21:$P$129,COLUMN(БФД!K:K)-1,FALSE)</f>
        <v>0</v>
      </c>
      <c r="K57" s="774">
        <f>VLOOKUP($A57,БФД!$A$21:$P$129,COLUMN(БФД!L:L)-1,FALSE)</f>
        <v>0</v>
      </c>
      <c r="L57" s="774">
        <f>VLOOKUP($A57,БФД!$A$21:$P$129,COLUMN(БФД!M:M)-1,FALSE)</f>
        <v>0</v>
      </c>
      <c r="M57" s="774">
        <f>VLOOKUP($A57,БФД!$A$21:$P$129,COLUMN(БФД!N:N)-1,FALSE)</f>
        <v>0</v>
      </c>
      <c r="N57" s="774">
        <f>VLOOKUP($A57,БФД!$A$21:$P$129,COLUMN(БФД!O:O)-1,FALSE)</f>
        <v>0</v>
      </c>
      <c r="O57" s="782">
        <f>VLOOKUP($A57,БФД!$A$21:$P$129,COLUMN(БФД!P:P)-1,FALSE)</f>
        <v>0</v>
      </c>
    </row>
    <row r="58" spans="1:15" s="59" customFormat="1" ht="12.75">
      <c r="A58" s="935"/>
      <c r="B58" s="931" t="s">
        <v>150</v>
      </c>
      <c r="C58" s="258"/>
      <c r="D58" s="58">
        <f aca="true" t="shared" si="10" ref="D58:O58">D39-D47-D54</f>
        <v>-11007</v>
      </c>
      <c r="E58" s="639">
        <f t="shared" si="10"/>
        <v>-27061.5075</v>
      </c>
      <c r="F58" s="58">
        <f t="shared" si="10"/>
        <v>1473626.13917</v>
      </c>
      <c r="G58" s="58">
        <f t="shared" si="10"/>
        <v>-25686.95519</v>
      </c>
      <c r="H58" s="58">
        <f t="shared" si="10"/>
        <v>210017</v>
      </c>
      <c r="I58" s="58">
        <f t="shared" si="10"/>
        <v>-260312.5</v>
      </c>
      <c r="J58" s="58">
        <f t="shared" si="10"/>
        <v>0</v>
      </c>
      <c r="K58" s="58">
        <f t="shared" si="10"/>
        <v>0</v>
      </c>
      <c r="L58" s="58">
        <f t="shared" si="10"/>
        <v>0</v>
      </c>
      <c r="M58" s="58">
        <f t="shared" si="10"/>
        <v>0</v>
      </c>
      <c r="N58" s="58">
        <f t="shared" si="10"/>
        <v>0</v>
      </c>
      <c r="O58" s="58">
        <f t="shared" si="10"/>
        <v>0</v>
      </c>
    </row>
    <row r="59" spans="1:15" s="1" customFormat="1" ht="12.75">
      <c r="A59" s="3"/>
      <c r="B59" s="933" t="s">
        <v>151</v>
      </c>
      <c r="C59" s="257"/>
      <c r="D59" s="56">
        <f aca="true" t="shared" si="11" ref="D59:O59">D37+D58</f>
        <v>71606.7500324581</v>
      </c>
      <c r="E59" s="640">
        <f t="shared" si="11"/>
        <v>-360165.3828126734</v>
      </c>
      <c r="F59" s="56">
        <f t="shared" si="11"/>
        <v>1375427.7305525849</v>
      </c>
      <c r="G59" s="56">
        <f t="shared" si="11"/>
        <v>-306989.82092312875</v>
      </c>
      <c r="H59" s="56">
        <f t="shared" si="11"/>
        <v>250283.5307646264</v>
      </c>
      <c r="I59" s="56">
        <f t="shared" si="11"/>
        <v>3537200.645779712</v>
      </c>
      <c r="J59" s="56">
        <f t="shared" si="11"/>
        <v>9395639.368764477</v>
      </c>
      <c r="K59" s="56">
        <f t="shared" si="11"/>
        <v>1397571.3209841598</v>
      </c>
      <c r="L59" s="56">
        <f t="shared" si="11"/>
        <v>3893292.0058519137</v>
      </c>
      <c r="M59" s="56">
        <f t="shared" si="11"/>
        <v>-115108.13927605192</v>
      </c>
      <c r="N59" s="56">
        <f t="shared" si="11"/>
        <v>-98897.99941588825</v>
      </c>
      <c r="O59" s="56">
        <f t="shared" si="11"/>
        <v>-70590.32530915107</v>
      </c>
    </row>
    <row r="60" spans="1:15" s="59" customFormat="1" ht="12.75">
      <c r="A60" s="935"/>
      <c r="B60" s="931" t="s">
        <v>152</v>
      </c>
      <c r="C60" s="258"/>
      <c r="D60" s="58">
        <f aca="true" t="shared" si="12" ref="D60:O60">C60+D59</f>
        <v>71606.7500324581</v>
      </c>
      <c r="E60" s="639">
        <f t="shared" si="12"/>
        <v>-288558.6327802153</v>
      </c>
      <c r="F60" s="58">
        <f t="shared" si="12"/>
        <v>1086869.0977723696</v>
      </c>
      <c r="G60" s="58">
        <f t="shared" si="12"/>
        <v>779879.2768492409</v>
      </c>
      <c r="H60" s="58">
        <f t="shared" si="12"/>
        <v>1030162.8076138673</v>
      </c>
      <c r="I60" s="58">
        <f t="shared" si="12"/>
        <v>4567363.453393579</v>
      </c>
      <c r="J60" s="58">
        <f t="shared" si="12"/>
        <v>13963002.822158057</v>
      </c>
      <c r="K60" s="58">
        <f t="shared" si="12"/>
        <v>15360574.143142218</v>
      </c>
      <c r="L60" s="58">
        <f t="shared" si="12"/>
        <v>19253866.148994133</v>
      </c>
      <c r="M60" s="58">
        <f t="shared" si="12"/>
        <v>19138758.00971808</v>
      </c>
      <c r="N60" s="58">
        <f t="shared" si="12"/>
        <v>19039860.01030219</v>
      </c>
      <c r="O60" s="58">
        <f t="shared" si="12"/>
        <v>18969269.68499304</v>
      </c>
    </row>
    <row r="61" spans="1:16" ht="12.75">
      <c r="A61" s="248"/>
      <c r="B61" s="95"/>
      <c r="O61" s="892"/>
      <c r="P61" s="36"/>
    </row>
    <row r="62" spans="1:15" s="91" customFormat="1" ht="12.75">
      <c r="A62" s="937"/>
      <c r="B62" s="934" t="s">
        <v>388</v>
      </c>
      <c r="C62" s="568"/>
      <c r="D62" s="333">
        <f aca="true" t="shared" si="13" ref="D62:O62">C63</f>
        <v>0</v>
      </c>
      <c r="E62" s="333">
        <f t="shared" si="13"/>
        <v>71606.7500324581</v>
      </c>
      <c r="F62" s="333">
        <f t="shared" si="13"/>
        <v>-288558.6327802153</v>
      </c>
      <c r="G62" s="333">
        <f t="shared" si="13"/>
        <v>1086869.0977723696</v>
      </c>
      <c r="H62" s="333">
        <f t="shared" si="13"/>
        <v>779879.2768492409</v>
      </c>
      <c r="I62" s="333">
        <f t="shared" si="13"/>
        <v>1030162.8076138673</v>
      </c>
      <c r="J62" s="333">
        <f t="shared" si="13"/>
        <v>4567363.453393579</v>
      </c>
      <c r="K62" s="333">
        <f t="shared" si="13"/>
        <v>13963002.822158057</v>
      </c>
      <c r="L62" s="333">
        <f t="shared" si="13"/>
        <v>15360574.143142218</v>
      </c>
      <c r="M62" s="333">
        <f t="shared" si="13"/>
        <v>19253866.148994133</v>
      </c>
      <c r="N62" s="333">
        <f t="shared" si="13"/>
        <v>19138758.00971808</v>
      </c>
      <c r="O62" s="333">
        <f t="shared" si="13"/>
        <v>19039860.01030219</v>
      </c>
    </row>
    <row r="63" spans="1:15" s="91" customFormat="1" ht="12.75">
      <c r="A63" s="937"/>
      <c r="B63" s="934" t="s">
        <v>389</v>
      </c>
      <c r="C63" s="628">
        <v>0</v>
      </c>
      <c r="D63" s="333">
        <f aca="true" t="shared" si="14" ref="D63:O63">D62+D59</f>
        <v>71606.7500324581</v>
      </c>
      <c r="E63" s="333">
        <f t="shared" si="14"/>
        <v>-288558.6327802153</v>
      </c>
      <c r="F63" s="333">
        <f t="shared" si="14"/>
        <v>1086869.0977723696</v>
      </c>
      <c r="G63" s="333">
        <f t="shared" si="14"/>
        <v>779879.2768492409</v>
      </c>
      <c r="H63" s="333">
        <f t="shared" si="14"/>
        <v>1030162.8076138673</v>
      </c>
      <c r="I63" s="333">
        <f t="shared" si="14"/>
        <v>4567363.453393579</v>
      </c>
      <c r="J63" s="333">
        <f t="shared" si="14"/>
        <v>13963002.822158057</v>
      </c>
      <c r="K63" s="333">
        <f t="shared" si="14"/>
        <v>15360574.143142218</v>
      </c>
      <c r="L63" s="333">
        <f t="shared" si="14"/>
        <v>19253866.148994133</v>
      </c>
      <c r="M63" s="333">
        <f t="shared" si="14"/>
        <v>19138758.00971808</v>
      </c>
      <c r="N63" s="333">
        <f t="shared" si="14"/>
        <v>19039860.01030219</v>
      </c>
      <c r="O63" s="333">
        <f t="shared" si="14"/>
        <v>18969269.68499304</v>
      </c>
    </row>
    <row r="64" spans="2:15" s="1" customFormat="1" ht="12.75">
      <c r="B64" s="18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ht="12.75">
      <c r="B65" s="95"/>
    </row>
    <row r="66" ht="12.75">
      <c r="B66" s="95"/>
    </row>
    <row r="67" ht="12.75">
      <c r="B67" s="95"/>
    </row>
    <row r="68" ht="12.75">
      <c r="B68" s="95"/>
    </row>
    <row r="69" ht="12.75">
      <c r="B69" s="95"/>
    </row>
    <row r="70" ht="12.75">
      <c r="B70" s="95"/>
    </row>
    <row r="71" ht="12.75">
      <c r="B71" s="95"/>
    </row>
    <row r="72" ht="12.75">
      <c r="B72" s="95"/>
    </row>
    <row r="73" ht="12.75">
      <c r="B73" s="95"/>
    </row>
    <row r="74" ht="12.75">
      <c r="B74" s="95"/>
    </row>
    <row r="75" ht="12.75">
      <c r="B75" s="95"/>
    </row>
    <row r="76" ht="12.75">
      <c r="B76" s="95"/>
    </row>
    <row r="77" ht="12.75">
      <c r="B77" s="95"/>
    </row>
    <row r="78" ht="12.75">
      <c r="B78" s="95"/>
    </row>
    <row r="79" ht="12.75">
      <c r="B79" s="95"/>
    </row>
    <row r="80" ht="12.75">
      <c r="B80" s="95"/>
    </row>
    <row r="81" ht="12.75">
      <c r="B81" s="95"/>
    </row>
    <row r="82" ht="12.75">
      <c r="B82" s="95"/>
    </row>
    <row r="83" ht="12.75">
      <c r="B83" s="95"/>
    </row>
    <row r="84" ht="12.75">
      <c r="B84" s="95"/>
    </row>
    <row r="85" ht="12.75">
      <c r="B85" s="95"/>
    </row>
    <row r="86" ht="12.75">
      <c r="B86" s="95"/>
    </row>
    <row r="87" ht="12.75">
      <c r="B87" s="95"/>
    </row>
    <row r="88" ht="12.75">
      <c r="B88" s="95"/>
    </row>
    <row r="89" ht="12.75">
      <c r="B89" s="95"/>
    </row>
    <row r="90" ht="12.75">
      <c r="B90" s="95"/>
    </row>
    <row r="91" ht="12.75">
      <c r="B91" s="95"/>
    </row>
    <row r="92" ht="12.75">
      <c r="B92" s="95"/>
    </row>
    <row r="93" ht="12.75">
      <c r="B93" s="95"/>
    </row>
    <row r="94" ht="12.75">
      <c r="B94" s="95"/>
    </row>
    <row r="95" ht="12.75">
      <c r="B95" s="95"/>
    </row>
    <row r="96" ht="12.75">
      <c r="B96" s="95"/>
    </row>
    <row r="97" ht="12.75">
      <c r="B97" s="95"/>
    </row>
    <row r="98" ht="12.75">
      <c r="B98" s="95"/>
    </row>
    <row r="99" ht="12.75">
      <c r="B99" s="95"/>
    </row>
    <row r="100" ht="12.75">
      <c r="B100" s="95"/>
    </row>
    <row r="101" ht="12.75">
      <c r="B101" s="95"/>
    </row>
    <row r="102" ht="12.75">
      <c r="B102" s="95"/>
    </row>
    <row r="103" ht="12.75">
      <c r="B103" s="95"/>
    </row>
    <row r="104" ht="12.75">
      <c r="B104" s="95"/>
    </row>
    <row r="105" ht="12.75">
      <c r="B105" s="95"/>
    </row>
    <row r="106" ht="12.75">
      <c r="B106" s="95"/>
    </row>
    <row r="107" ht="12.75">
      <c r="B107" s="95"/>
    </row>
    <row r="108" ht="12.75">
      <c r="B108" s="95"/>
    </row>
    <row r="109" ht="12.75">
      <c r="B109" s="95"/>
    </row>
    <row r="110" ht="12.75">
      <c r="B110" s="95"/>
    </row>
    <row r="111" ht="12.75">
      <c r="B111" s="95"/>
    </row>
    <row r="112" ht="12.75">
      <c r="B112" s="95"/>
    </row>
    <row r="113" ht="12.75">
      <c r="B113" s="95"/>
    </row>
    <row r="114" ht="12.75">
      <c r="B114" s="95"/>
    </row>
    <row r="115" ht="12.75">
      <c r="B115" s="95"/>
    </row>
    <row r="116" ht="12.75">
      <c r="B116" s="95"/>
    </row>
    <row r="117" ht="12.75">
      <c r="B117" s="95"/>
    </row>
    <row r="118" ht="12.75">
      <c r="B118" s="95"/>
    </row>
    <row r="119" ht="12.75">
      <c r="B119" s="95"/>
    </row>
    <row r="120" ht="12.75">
      <c r="B120" s="95"/>
    </row>
    <row r="121" ht="12.75">
      <c r="B121" s="95"/>
    </row>
    <row r="122" ht="12.75">
      <c r="B122" s="95"/>
    </row>
    <row r="123" ht="12.75">
      <c r="B123" s="95"/>
    </row>
    <row r="124" ht="12.75">
      <c r="B124" s="95"/>
    </row>
    <row r="125" ht="12.75">
      <c r="B125" s="95"/>
    </row>
    <row r="126" ht="12.75">
      <c r="B126" s="95"/>
    </row>
    <row r="127" ht="12.75">
      <c r="B127" s="95"/>
    </row>
    <row r="128" ht="12.75">
      <c r="B128" s="95"/>
    </row>
    <row r="129" ht="12.75">
      <c r="B129" s="95"/>
    </row>
    <row r="130" ht="12.75">
      <c r="B130" s="95"/>
    </row>
    <row r="131" ht="12.75">
      <c r="B131" s="95"/>
    </row>
    <row r="132" ht="12.75">
      <c r="B132" s="95"/>
    </row>
    <row r="133" ht="12.75">
      <c r="B133" s="95"/>
    </row>
    <row r="134" ht="12.75">
      <c r="B134" s="95"/>
    </row>
    <row r="135" ht="12.75">
      <c r="B135" s="95"/>
    </row>
    <row r="136" ht="12.75">
      <c r="B136" s="95"/>
    </row>
    <row r="137" ht="12.75">
      <c r="B137" s="95"/>
    </row>
    <row r="138" ht="12.75">
      <c r="B138" s="95"/>
    </row>
    <row r="139" ht="12.75">
      <c r="B139" s="95"/>
    </row>
    <row r="140" ht="12.75">
      <c r="B140" s="95"/>
    </row>
    <row r="141" ht="12.75">
      <c r="B141" s="95"/>
    </row>
    <row r="142" ht="12.75">
      <c r="B142" s="95"/>
    </row>
    <row r="143" ht="12.75">
      <c r="B143" s="95"/>
    </row>
    <row r="144" ht="12.75">
      <c r="B144" s="95"/>
    </row>
    <row r="145" ht="12.75">
      <c r="B145" s="95"/>
    </row>
    <row r="146" ht="12.75">
      <c r="B146" s="95"/>
    </row>
    <row r="147" ht="12.75">
      <c r="B147" s="95"/>
    </row>
    <row r="148" ht="12.75">
      <c r="B148" s="95"/>
    </row>
    <row r="149" ht="12.75">
      <c r="B149" s="95"/>
    </row>
    <row r="150" ht="12.75">
      <c r="B150" s="95"/>
    </row>
    <row r="151" ht="12.75">
      <c r="B151" s="95"/>
    </row>
    <row r="152" ht="12.75">
      <c r="B152" s="95"/>
    </row>
    <row r="153" ht="12.75">
      <c r="B153" s="95"/>
    </row>
    <row r="154" ht="12.75">
      <c r="B154" s="95"/>
    </row>
    <row r="155" ht="12.75">
      <c r="B155" s="95"/>
    </row>
    <row r="156" ht="12.75">
      <c r="B156" s="95"/>
    </row>
    <row r="157" ht="12.75">
      <c r="B157" s="95"/>
    </row>
    <row r="158" ht="12.75">
      <c r="B158" s="95"/>
    </row>
    <row r="159" ht="12.75">
      <c r="B159" s="95"/>
    </row>
    <row r="160" ht="12.75">
      <c r="B160" s="95"/>
    </row>
    <row r="161" ht="12.75">
      <c r="B161" s="95"/>
    </row>
    <row r="162" ht="12.75">
      <c r="B162" s="95"/>
    </row>
    <row r="163" ht="12.75">
      <c r="B163" s="95"/>
    </row>
    <row r="164" ht="12.75">
      <c r="B164" s="95"/>
    </row>
    <row r="165" ht="12.75">
      <c r="B165" s="95"/>
    </row>
    <row r="166" ht="12.75">
      <c r="B166" s="95"/>
    </row>
    <row r="167" ht="12.75">
      <c r="B167" s="95"/>
    </row>
    <row r="168" ht="12.75">
      <c r="B168" s="95"/>
    </row>
    <row r="169" ht="12.75">
      <c r="B169" s="95"/>
    </row>
    <row r="170" ht="12.75">
      <c r="B170" s="95"/>
    </row>
    <row r="171" ht="12.75">
      <c r="B171" s="95"/>
    </row>
    <row r="172" ht="12.75">
      <c r="B172" s="95"/>
    </row>
    <row r="173" ht="12.75">
      <c r="B173" s="95"/>
    </row>
    <row r="174" ht="12.75">
      <c r="B174" s="95"/>
    </row>
    <row r="175" ht="12.75">
      <c r="B175" s="95"/>
    </row>
    <row r="176" ht="12.75">
      <c r="B176" s="95"/>
    </row>
    <row r="177" ht="12.75">
      <c r="B177" s="95"/>
    </row>
    <row r="178" ht="12.75">
      <c r="B178" s="95"/>
    </row>
    <row r="179" ht="12.75">
      <c r="B179" s="95"/>
    </row>
    <row r="180" ht="12.75">
      <c r="B180" s="95"/>
    </row>
    <row r="181" ht="12.75">
      <c r="B181" s="95"/>
    </row>
    <row r="182" ht="12.75">
      <c r="B182" s="95"/>
    </row>
    <row r="183" ht="12.75">
      <c r="B183" s="95"/>
    </row>
    <row r="184" ht="12.75">
      <c r="B184" s="95"/>
    </row>
    <row r="185" ht="12.75">
      <c r="B185" s="95"/>
    </row>
    <row r="186" ht="12.75">
      <c r="B186" s="95"/>
    </row>
    <row r="187" ht="12.75">
      <c r="B187" s="95"/>
    </row>
    <row r="188" ht="12.75">
      <c r="B188" s="95"/>
    </row>
    <row r="189" ht="12.75">
      <c r="B189" s="95"/>
    </row>
    <row r="190" ht="12.75">
      <c r="B190" s="95"/>
    </row>
    <row r="191" ht="12.75">
      <c r="B191" s="95"/>
    </row>
    <row r="192" ht="12.75">
      <c r="B192" s="95"/>
    </row>
    <row r="193" ht="12.75">
      <c r="B193" s="95"/>
    </row>
    <row r="194" ht="12.75">
      <c r="B194" s="95"/>
    </row>
    <row r="195" ht="12.75">
      <c r="B195" s="95"/>
    </row>
    <row r="196" ht="12.75">
      <c r="B196" s="95"/>
    </row>
    <row r="197" ht="12.75">
      <c r="B197" s="95"/>
    </row>
    <row r="198" ht="12.75">
      <c r="B198" s="95"/>
    </row>
    <row r="199" ht="12.75">
      <c r="B199" s="95"/>
    </row>
    <row r="200" ht="12.75">
      <c r="B200" s="95"/>
    </row>
    <row r="201" ht="12.75">
      <c r="B201" s="95"/>
    </row>
    <row r="202" ht="12.75">
      <c r="B202" s="95"/>
    </row>
    <row r="203" ht="12.75">
      <c r="B203" s="95"/>
    </row>
    <row r="204" ht="12.75">
      <c r="B204" s="95"/>
    </row>
    <row r="205" ht="12.75">
      <c r="B205" s="95"/>
    </row>
    <row r="206" ht="12.75">
      <c r="B206" s="95"/>
    </row>
    <row r="207" ht="12.75">
      <c r="B207" s="95"/>
    </row>
    <row r="208" ht="12.75">
      <c r="B208" s="95"/>
    </row>
    <row r="209" ht="12.75">
      <c r="B209" s="95"/>
    </row>
    <row r="210" ht="12.75">
      <c r="B210" s="95"/>
    </row>
    <row r="211" ht="12.75">
      <c r="B211" s="95"/>
    </row>
    <row r="212" ht="12.75">
      <c r="B212" s="95"/>
    </row>
    <row r="213" ht="12.75">
      <c r="B213" s="95"/>
    </row>
    <row r="214" ht="12.75">
      <c r="B214" s="95"/>
    </row>
    <row r="215" ht="12.75">
      <c r="B215" s="95"/>
    </row>
    <row r="216" ht="12.75">
      <c r="B216" s="95"/>
    </row>
    <row r="217" ht="12.75">
      <c r="B217" s="95"/>
    </row>
    <row r="218" ht="12.75">
      <c r="B218" s="95"/>
    </row>
    <row r="219" ht="12.75">
      <c r="B219" s="95"/>
    </row>
    <row r="220" ht="12.75">
      <c r="B220" s="95"/>
    </row>
    <row r="221" ht="12.75">
      <c r="B221" s="95"/>
    </row>
    <row r="222" ht="12.75">
      <c r="B222" s="95"/>
    </row>
    <row r="223" ht="12.75">
      <c r="B223" s="95"/>
    </row>
    <row r="224" ht="12.75">
      <c r="B224" s="95"/>
    </row>
    <row r="225" ht="12.75">
      <c r="B225" s="95"/>
    </row>
    <row r="226" ht="12.75">
      <c r="B226" s="95"/>
    </row>
    <row r="227" ht="12.75">
      <c r="B227" s="95"/>
    </row>
    <row r="228" ht="12.75">
      <c r="B228" s="95"/>
    </row>
    <row r="229" ht="12.75">
      <c r="B229" s="95"/>
    </row>
    <row r="230" ht="12.75">
      <c r="B230" s="95"/>
    </row>
    <row r="231" ht="12.75">
      <c r="B231" s="95"/>
    </row>
    <row r="232" ht="12.75">
      <c r="B232" s="95"/>
    </row>
    <row r="233" ht="12.75">
      <c r="B233" s="95"/>
    </row>
    <row r="234" ht="12.75">
      <c r="B234" s="95"/>
    </row>
    <row r="235" ht="12.75">
      <c r="B235" s="95"/>
    </row>
    <row r="236" ht="12.75">
      <c r="B236" s="95"/>
    </row>
    <row r="237" ht="12.75">
      <c r="B237" s="95"/>
    </row>
    <row r="238" ht="12.75">
      <c r="B238" s="95"/>
    </row>
    <row r="239" ht="12.75">
      <c r="B239" s="95"/>
    </row>
  </sheetData>
  <sheetProtection/>
  <mergeCells count="14">
    <mergeCell ref="N7:N8"/>
    <mergeCell ref="O7:O8"/>
    <mergeCell ref="J7:J8"/>
    <mergeCell ref="K7:K8"/>
    <mergeCell ref="L7:L8"/>
    <mergeCell ref="M7:M8"/>
    <mergeCell ref="A2:M2"/>
    <mergeCell ref="A3:M3"/>
    <mergeCell ref="A7:A8"/>
    <mergeCell ref="B7:B8"/>
    <mergeCell ref="C7:C8"/>
    <mergeCell ref="H7:H8"/>
    <mergeCell ref="I7:I8"/>
    <mergeCell ref="D7:G7"/>
  </mergeCells>
  <hyperlinks>
    <hyperlink ref="A1" location="Содержание!A1" display="Вернуться к содержанию"/>
  </hyperlinks>
  <printOptions/>
  <pageMargins left="0.24" right="0.19" top="0.59" bottom="0.52" header="0.36" footer="0.36"/>
  <pageSetup horizontalDpi="600" verticalDpi="600" orientation="landscape" paperSize="9" scale="65" r:id="rId1"/>
  <ignoredErrors>
    <ignoredError sqref="D47:O47 D54:O54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29"/>
  <sheetViews>
    <sheetView zoomScale="90" zoomScaleNormal="90" zoomScalePageLayoutView="0" workbookViewId="0" topLeftCell="A1">
      <pane ySplit="10" topLeftCell="A14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7.00390625" style="0" customWidth="1"/>
    <col min="2" max="2" width="51.25390625" style="0" bestFit="1" customWidth="1"/>
    <col min="3" max="3" width="13.125" style="0" customWidth="1"/>
    <col min="4" max="4" width="11.625" style="0" bestFit="1" customWidth="1"/>
    <col min="5" max="5" width="12.25390625" style="0" bestFit="1" customWidth="1"/>
    <col min="6" max="6" width="12.625" style="0" bestFit="1" customWidth="1"/>
    <col min="7" max="16" width="12.25390625" style="0" bestFit="1" customWidth="1"/>
  </cols>
  <sheetData>
    <row r="1" spans="1:3" s="2" customFormat="1" ht="13.5" customHeight="1">
      <c r="A1" s="6" t="s">
        <v>129</v>
      </c>
      <c r="B1" s="8"/>
      <c r="C1" s="8"/>
    </row>
    <row r="2" s="8" customFormat="1" ht="13.5" customHeight="1">
      <c r="A2" s="44"/>
    </row>
    <row r="3" spans="1:16" s="8" customFormat="1" ht="18.75">
      <c r="A3" s="1149" t="s">
        <v>15</v>
      </c>
      <c r="B3" s="1149"/>
      <c r="C3" s="1149"/>
      <c r="D3" s="1149"/>
      <c r="E3" s="1149"/>
      <c r="F3" s="1149"/>
      <c r="G3" s="1149"/>
      <c r="H3" s="1149"/>
      <c r="I3" s="1149"/>
      <c r="J3" s="1149"/>
      <c r="K3" s="1149"/>
      <c r="L3" s="1149"/>
      <c r="M3" s="1149"/>
      <c r="N3" s="1149"/>
      <c r="O3" s="1149"/>
      <c r="P3" s="1149"/>
    </row>
    <row r="4" spans="1:13" s="12" customFormat="1" ht="18.75">
      <c r="A4" s="1149"/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</row>
    <row r="5" spans="1:7" s="12" customFormat="1" ht="13.5">
      <c r="A5" s="96"/>
      <c r="B5" s="96"/>
      <c r="C5" s="97"/>
      <c r="D5" s="97"/>
      <c r="E5" s="97"/>
      <c r="F5" s="97"/>
      <c r="G5" s="98"/>
    </row>
    <row r="6" spans="1:7" s="12" customFormat="1" ht="13.5">
      <c r="A6" s="96"/>
      <c r="B6" s="96"/>
      <c r="C6" s="97"/>
      <c r="D6" s="97"/>
      <c r="E6" s="1079"/>
      <c r="F6" s="1080"/>
      <c r="G6" s="98"/>
    </row>
    <row r="7" spans="2:7" s="12" customFormat="1" ht="13.5">
      <c r="B7" s="96"/>
      <c r="C7" s="97"/>
      <c r="D7" s="97"/>
      <c r="E7" s="97"/>
      <c r="F7" s="97"/>
      <c r="G7" s="98"/>
    </row>
    <row r="8" spans="1:16" s="94" customFormat="1" ht="12.75" customHeight="1">
      <c r="A8" s="1147" t="s">
        <v>255</v>
      </c>
      <c r="B8" s="1150" t="s">
        <v>102</v>
      </c>
      <c r="C8" s="1121">
        <f>D8-1</f>
        <v>2005</v>
      </c>
      <c r="D8" s="1129">
        <f>Параметры!D3</f>
        <v>2006</v>
      </c>
      <c r="E8" s="1130"/>
      <c r="F8" s="1130"/>
      <c r="G8" s="1131"/>
      <c r="H8" s="1133">
        <f>D8+1</f>
        <v>2007</v>
      </c>
      <c r="I8" s="1133">
        <f aca="true" t="shared" si="0" ref="I8:O8">H8+1</f>
        <v>2008</v>
      </c>
      <c r="J8" s="1133">
        <f t="shared" si="0"/>
        <v>2009</v>
      </c>
      <c r="K8" s="1133">
        <f t="shared" si="0"/>
        <v>2010</v>
      </c>
      <c r="L8" s="1133">
        <f t="shared" si="0"/>
        <v>2011</v>
      </c>
      <c r="M8" s="1133">
        <f t="shared" si="0"/>
        <v>2012</v>
      </c>
      <c r="N8" s="1133">
        <f t="shared" si="0"/>
        <v>2013</v>
      </c>
      <c r="O8" s="1133">
        <f t="shared" si="0"/>
        <v>2014</v>
      </c>
      <c r="P8" s="1152" t="s">
        <v>602</v>
      </c>
    </row>
    <row r="9" spans="1:16" s="94" customFormat="1" ht="12.75">
      <c r="A9" s="1148"/>
      <c r="B9" s="1151"/>
      <c r="C9" s="1122"/>
      <c r="D9" s="763" t="s">
        <v>725</v>
      </c>
      <c r="E9" s="763" t="s">
        <v>726</v>
      </c>
      <c r="F9" s="763" t="s">
        <v>727</v>
      </c>
      <c r="G9" s="763" t="s">
        <v>728</v>
      </c>
      <c r="H9" s="1134"/>
      <c r="I9" s="1134"/>
      <c r="J9" s="1134"/>
      <c r="K9" s="1134"/>
      <c r="L9" s="1134"/>
      <c r="M9" s="1134"/>
      <c r="N9" s="1134"/>
      <c r="O9" s="1134"/>
      <c r="P9" s="1153"/>
    </row>
    <row r="10" spans="1:16" s="93" customFormat="1" ht="12.75" customHeight="1">
      <c r="A10" s="11">
        <v>1</v>
      </c>
      <c r="B10" s="54">
        <f>A10+1</f>
        <v>2</v>
      </c>
      <c r="C10" s="54">
        <f aca="true" t="shared" si="1" ref="C10:P10">B10+1</f>
        <v>3</v>
      </c>
      <c r="D10" s="54">
        <f t="shared" si="1"/>
        <v>4</v>
      </c>
      <c r="E10" s="54">
        <f t="shared" si="1"/>
        <v>5</v>
      </c>
      <c r="F10" s="54">
        <f t="shared" si="1"/>
        <v>6</v>
      </c>
      <c r="G10" s="54">
        <f t="shared" si="1"/>
        <v>7</v>
      </c>
      <c r="H10" s="54">
        <f t="shared" si="1"/>
        <v>8</v>
      </c>
      <c r="I10" s="54">
        <f t="shared" si="1"/>
        <v>9</v>
      </c>
      <c r="J10" s="54">
        <f t="shared" si="1"/>
        <v>10</v>
      </c>
      <c r="K10" s="54">
        <f t="shared" si="1"/>
        <v>11</v>
      </c>
      <c r="L10" s="54">
        <f t="shared" si="1"/>
        <v>12</v>
      </c>
      <c r="M10" s="54">
        <f t="shared" si="1"/>
        <v>13</v>
      </c>
      <c r="N10" s="54">
        <f t="shared" si="1"/>
        <v>14</v>
      </c>
      <c r="O10" s="54">
        <f t="shared" si="1"/>
        <v>15</v>
      </c>
      <c r="P10" s="54">
        <f t="shared" si="1"/>
        <v>16</v>
      </c>
    </row>
    <row r="11" spans="2:16" s="12" customFormat="1" ht="12.75">
      <c r="B11" s="67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6" s="315" customFormat="1" ht="12.75">
      <c r="B12" s="70" t="s">
        <v>233</v>
      </c>
      <c r="C12" s="103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</row>
    <row r="13" spans="2:16" s="12" customFormat="1" ht="12.75">
      <c r="B13" s="67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s="59" customFormat="1" ht="12.75">
      <c r="A14" s="256"/>
      <c r="B14" s="57" t="s">
        <v>388</v>
      </c>
      <c r="C14" s="258">
        <f>ОДДС!C62</f>
        <v>0</v>
      </c>
      <c r="D14" s="258">
        <f>ОДДС!D62</f>
        <v>0</v>
      </c>
      <c r="E14" s="258">
        <f>ОДДС!E62</f>
        <v>71606.7500324581</v>
      </c>
      <c r="F14" s="258">
        <f>ОДДС!F62</f>
        <v>-288558.6327802153</v>
      </c>
      <c r="G14" s="258">
        <f>ОДДС!G62</f>
        <v>1086869.0977723696</v>
      </c>
      <c r="H14" s="258">
        <f>ОДДС!H62</f>
        <v>779879.2768492409</v>
      </c>
      <c r="I14" s="258">
        <f>ОДДС!I62</f>
        <v>1030162.8076138673</v>
      </c>
      <c r="J14" s="258">
        <f>ОДДС!J62</f>
        <v>4567363.453393579</v>
      </c>
      <c r="K14" s="258">
        <f>ОДДС!K62</f>
        <v>13963002.822158057</v>
      </c>
      <c r="L14" s="258">
        <f>ОДДС!L62</f>
        <v>15360574.143142218</v>
      </c>
      <c r="M14" s="258">
        <f>ОДДС!M62</f>
        <v>19253866.148994133</v>
      </c>
      <c r="N14" s="258">
        <f>ОДДС!N62</f>
        <v>19138758.00971808</v>
      </c>
      <c r="O14" s="258">
        <f>ОДДС!O62</f>
        <v>19039860.01030219</v>
      </c>
      <c r="P14" s="58">
        <f>C14</f>
        <v>0</v>
      </c>
    </row>
    <row r="15" spans="1:16" s="59" customFormat="1" ht="12.75">
      <c r="A15" s="256"/>
      <c r="B15" s="57" t="s">
        <v>389</v>
      </c>
      <c r="C15" s="258">
        <f>ОДДС!C63</f>
        <v>0</v>
      </c>
      <c r="D15" s="258">
        <f>ОДДС!D63</f>
        <v>71606.7500324581</v>
      </c>
      <c r="E15" s="258">
        <f>ОДДС!E63</f>
        <v>-288558.6327802153</v>
      </c>
      <c r="F15" s="258">
        <f>ОДДС!F63</f>
        <v>1086869.0977723696</v>
      </c>
      <c r="G15" s="258">
        <f>ОДДС!G63</f>
        <v>779879.2768492409</v>
      </c>
      <c r="H15" s="258">
        <f>ОДДС!H63</f>
        <v>1030162.8076138673</v>
      </c>
      <c r="I15" s="258">
        <f>ОДДС!I63</f>
        <v>4567363.453393579</v>
      </c>
      <c r="J15" s="258">
        <f>ОДДС!J63</f>
        <v>13963002.822158057</v>
      </c>
      <c r="K15" s="258">
        <f>ОДДС!K63</f>
        <v>15360574.143142218</v>
      </c>
      <c r="L15" s="258">
        <f>ОДДС!L63</f>
        <v>19253866.148994133</v>
      </c>
      <c r="M15" s="258">
        <f>ОДДС!M63</f>
        <v>19138758.00971808</v>
      </c>
      <c r="N15" s="258">
        <f>ОДДС!N63</f>
        <v>19039860.01030219</v>
      </c>
      <c r="O15" s="258">
        <f>ОДДС!O63</f>
        <v>18969269.68499304</v>
      </c>
      <c r="P15" s="58">
        <f>O15</f>
        <v>18969269.68499304</v>
      </c>
    </row>
    <row r="16" spans="2:16" s="12" customFormat="1" ht="12.75"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s="315" customFormat="1" ht="12.75">
      <c r="A17" s="315">
        <v>1</v>
      </c>
      <c r="B17" s="70" t="s">
        <v>156</v>
      </c>
      <c r="C17" s="103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</row>
    <row r="18" spans="2:16" s="12" customFormat="1" ht="12.75">
      <c r="B18" s="67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s="2" customFormat="1" ht="12.75">
      <c r="A19" s="326"/>
      <c r="B19" s="46" t="s">
        <v>163</v>
      </c>
      <c r="C19" s="515"/>
      <c r="D19" s="252">
        <f aca="true" t="shared" si="2" ref="D19:O19">C25</f>
        <v>641796.2003454232</v>
      </c>
      <c r="E19" s="61">
        <f t="shared" si="2"/>
        <v>641796.2003454232</v>
      </c>
      <c r="F19" s="61">
        <f t="shared" si="2"/>
        <v>641796.2003454232</v>
      </c>
      <c r="G19" s="61">
        <f t="shared" si="2"/>
        <v>2141796.200345423</v>
      </c>
      <c r="H19" s="61">
        <f t="shared" si="2"/>
        <v>2141796.200345423</v>
      </c>
      <c r="I19" s="61">
        <f t="shared" si="2"/>
        <v>2141796.200345423</v>
      </c>
      <c r="J19" s="61">
        <f t="shared" si="2"/>
        <v>2141796.200345423</v>
      </c>
      <c r="K19" s="61">
        <f t="shared" si="2"/>
        <v>2141796.200345423</v>
      </c>
      <c r="L19" s="61">
        <f t="shared" si="2"/>
        <v>2141796.200345423</v>
      </c>
      <c r="M19" s="61">
        <f t="shared" si="2"/>
        <v>2141796.200345423</v>
      </c>
      <c r="N19" s="61">
        <f t="shared" si="2"/>
        <v>2141796.200345423</v>
      </c>
      <c r="O19" s="62">
        <f t="shared" si="2"/>
        <v>2141796.200345423</v>
      </c>
      <c r="P19" s="288">
        <f>C25</f>
        <v>641796.2003454232</v>
      </c>
    </row>
    <row r="20" spans="1:16" s="2" customFormat="1" ht="12.75">
      <c r="A20" s="248"/>
      <c r="B20" s="47" t="s">
        <v>148</v>
      </c>
      <c r="C20" s="520"/>
      <c r="D20" s="41">
        <f aca="true" t="shared" si="3" ref="D20:O20">SUM(D21:D22)</f>
        <v>0</v>
      </c>
      <c r="E20" s="39">
        <f t="shared" si="3"/>
        <v>0</v>
      </c>
      <c r="F20" s="39">
        <f t="shared" si="3"/>
        <v>1500000</v>
      </c>
      <c r="G20" s="39">
        <f t="shared" si="3"/>
        <v>0</v>
      </c>
      <c r="H20" s="39">
        <f t="shared" si="3"/>
        <v>0</v>
      </c>
      <c r="I20" s="39">
        <f t="shared" si="3"/>
        <v>0</v>
      </c>
      <c r="J20" s="39">
        <f t="shared" si="3"/>
        <v>0</v>
      </c>
      <c r="K20" s="39">
        <f t="shared" si="3"/>
        <v>0</v>
      </c>
      <c r="L20" s="39">
        <f t="shared" si="3"/>
        <v>0</v>
      </c>
      <c r="M20" s="39">
        <f t="shared" si="3"/>
        <v>0</v>
      </c>
      <c r="N20" s="39">
        <f t="shared" si="3"/>
        <v>0</v>
      </c>
      <c r="O20" s="40">
        <f t="shared" si="3"/>
        <v>0</v>
      </c>
      <c r="P20" s="82">
        <f>SUM(D20:O20)</f>
        <v>1500000</v>
      </c>
    </row>
    <row r="21" spans="1:16" s="2" customFormat="1" ht="12.75" outlineLevel="1">
      <c r="A21" s="164" t="s">
        <v>483</v>
      </c>
      <c r="B21" s="321" t="str">
        <f>VLOOKUP(A21,Справочники!$B:$F,4,FALSE)</f>
        <v>Эмиссия акций</v>
      </c>
      <c r="C21" s="545"/>
      <c r="D21" s="287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319"/>
      <c r="P21" s="37"/>
    </row>
    <row r="22" spans="1:16" s="2" customFormat="1" ht="12.75" outlineLevel="1">
      <c r="A22" s="164" t="s">
        <v>352</v>
      </c>
      <c r="B22" s="321" t="str">
        <f>VLOOKUP(A22,Справочники!$B:$F,4,FALSE)</f>
        <v>Прочие поступления от учредителей</v>
      </c>
      <c r="C22" s="545"/>
      <c r="D22" s="287"/>
      <c r="E22" s="71"/>
      <c r="F22" s="71">
        <v>1500000</v>
      </c>
      <c r="G22" s="71"/>
      <c r="H22" s="71"/>
      <c r="I22" s="71"/>
      <c r="J22" s="71"/>
      <c r="K22" s="71"/>
      <c r="L22" s="71"/>
      <c r="M22" s="71"/>
      <c r="N22" s="71"/>
      <c r="O22" s="319"/>
      <c r="P22" s="37"/>
    </row>
    <row r="23" spans="1:16" s="2" customFormat="1" ht="12.75">
      <c r="A23" s="248"/>
      <c r="B23" s="47" t="s">
        <v>149</v>
      </c>
      <c r="C23" s="520"/>
      <c r="D23" s="41">
        <f aca="true" t="shared" si="4" ref="D23:O23">SUM(D24)</f>
        <v>0</v>
      </c>
      <c r="E23" s="39">
        <f t="shared" si="4"/>
        <v>0</v>
      </c>
      <c r="F23" s="39">
        <f t="shared" si="4"/>
        <v>0</v>
      </c>
      <c r="G23" s="39">
        <f t="shared" si="4"/>
        <v>0</v>
      </c>
      <c r="H23" s="39">
        <f t="shared" si="4"/>
        <v>0</v>
      </c>
      <c r="I23" s="39">
        <f t="shared" si="4"/>
        <v>0</v>
      </c>
      <c r="J23" s="39">
        <f t="shared" si="4"/>
        <v>0</v>
      </c>
      <c r="K23" s="39">
        <f t="shared" si="4"/>
        <v>0</v>
      </c>
      <c r="L23" s="39">
        <f t="shared" si="4"/>
        <v>0</v>
      </c>
      <c r="M23" s="39">
        <f t="shared" si="4"/>
        <v>0</v>
      </c>
      <c r="N23" s="39">
        <f t="shared" si="4"/>
        <v>0</v>
      </c>
      <c r="O23" s="40">
        <f t="shared" si="4"/>
        <v>0</v>
      </c>
      <c r="P23" s="82">
        <f>SUM(D23:O23)</f>
        <v>0</v>
      </c>
    </row>
    <row r="24" spans="1:16" s="2" customFormat="1" ht="12.75" outlineLevel="1">
      <c r="A24" s="164" t="s">
        <v>2</v>
      </c>
      <c r="B24" s="321" t="str">
        <f>VLOOKUP(A24,Справочники!$B:$F,4,FALSE)</f>
        <v>Выкуп собственных акций</v>
      </c>
      <c r="C24" s="545"/>
      <c r="D24" s="287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/>
      <c r="M24" s="71"/>
      <c r="N24" s="71"/>
      <c r="O24" s="319"/>
      <c r="P24" s="37">
        <f>SUM(D24:O24)</f>
        <v>0</v>
      </c>
    </row>
    <row r="25" spans="1:16" s="2" customFormat="1" ht="12.75">
      <c r="A25" s="327"/>
      <c r="B25" s="320" t="s">
        <v>164</v>
      </c>
      <c r="C25" s="756">
        <f>7000000/Параметры!C14+400000</f>
        <v>641796.2003454232</v>
      </c>
      <c r="D25" s="244">
        <f aca="true" t="shared" si="5" ref="D25:P25">D19+D20-D23</f>
        <v>641796.2003454232</v>
      </c>
      <c r="E25" s="64">
        <f t="shared" si="5"/>
        <v>641796.2003454232</v>
      </c>
      <c r="F25" s="64">
        <f t="shared" si="5"/>
        <v>2141796.200345423</v>
      </c>
      <c r="G25" s="64">
        <f t="shared" si="5"/>
        <v>2141796.200345423</v>
      </c>
      <c r="H25" s="64">
        <f t="shared" si="5"/>
        <v>2141796.200345423</v>
      </c>
      <c r="I25" s="64">
        <f t="shared" si="5"/>
        <v>2141796.200345423</v>
      </c>
      <c r="J25" s="64">
        <f t="shared" si="5"/>
        <v>2141796.200345423</v>
      </c>
      <c r="K25" s="64">
        <f t="shared" si="5"/>
        <v>2141796.200345423</v>
      </c>
      <c r="L25" s="64">
        <f t="shared" si="5"/>
        <v>2141796.200345423</v>
      </c>
      <c r="M25" s="64">
        <f t="shared" si="5"/>
        <v>2141796.200345423</v>
      </c>
      <c r="N25" s="64">
        <f t="shared" si="5"/>
        <v>2141796.200345423</v>
      </c>
      <c r="O25" s="65">
        <f t="shared" si="5"/>
        <v>2141796.200345423</v>
      </c>
      <c r="P25" s="239">
        <f t="shared" si="5"/>
        <v>2141796.200345423</v>
      </c>
    </row>
    <row r="26" spans="2:16" s="12" customFormat="1" ht="12.75"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s="315" customFormat="1" ht="12.75">
      <c r="A27" s="315">
        <v>2</v>
      </c>
      <c r="B27" s="316" t="s">
        <v>459</v>
      </c>
      <c r="C27" s="103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</row>
    <row r="28" spans="2:16" s="12" customFormat="1" ht="12.75">
      <c r="B28" s="67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2" s="318" customFormat="1" ht="12.75">
      <c r="A29" s="485" t="s">
        <v>4</v>
      </c>
      <c r="B29" s="70" t="s">
        <v>779</v>
      </c>
    </row>
    <row r="30" spans="1:16" s="2" customFormat="1" ht="12.75">
      <c r="A30" s="326"/>
      <c r="B30" s="4" t="s">
        <v>163</v>
      </c>
      <c r="C30" s="66"/>
      <c r="D30" s="516">
        <f aca="true" t="shared" si="6" ref="D30:O30">D38+D46</f>
        <v>0</v>
      </c>
      <c r="E30" s="517">
        <f t="shared" si="6"/>
        <v>0</v>
      </c>
      <c r="F30" s="517">
        <f t="shared" si="6"/>
        <v>0</v>
      </c>
      <c r="G30" s="517">
        <f t="shared" si="6"/>
        <v>0</v>
      </c>
      <c r="H30" s="517">
        <f t="shared" si="6"/>
        <v>0</v>
      </c>
      <c r="I30" s="517">
        <f t="shared" si="6"/>
        <v>0</v>
      </c>
      <c r="J30" s="517">
        <f t="shared" si="6"/>
        <v>0</v>
      </c>
      <c r="K30" s="517">
        <f t="shared" si="6"/>
        <v>0</v>
      </c>
      <c r="L30" s="517">
        <f t="shared" si="6"/>
        <v>0</v>
      </c>
      <c r="M30" s="517">
        <f t="shared" si="6"/>
        <v>0</v>
      </c>
      <c r="N30" s="517">
        <f t="shared" si="6"/>
        <v>0</v>
      </c>
      <c r="O30" s="518">
        <f t="shared" si="6"/>
        <v>0</v>
      </c>
      <c r="P30" s="288">
        <f>C35</f>
        <v>0</v>
      </c>
    </row>
    <row r="31" spans="1:16" s="2" customFormat="1" ht="12.75">
      <c r="A31" s="164" t="s">
        <v>354</v>
      </c>
      <c r="B31" s="4" t="str">
        <f>VLOOKUP(A31,Справочники!$B:$F,4,FALSE)</f>
        <v>Поступления долгосрочных кредитов</v>
      </c>
      <c r="C31" s="520"/>
      <c r="D31" s="328">
        <f aca="true" t="shared" si="7" ref="D31:O31">D39+D47</f>
        <v>0</v>
      </c>
      <c r="E31" s="329">
        <f t="shared" si="7"/>
        <v>0</v>
      </c>
      <c r="F31" s="329">
        <f t="shared" si="7"/>
        <v>0</v>
      </c>
      <c r="G31" s="329">
        <f t="shared" si="7"/>
        <v>0</v>
      </c>
      <c r="H31" s="329">
        <f t="shared" si="7"/>
        <v>0</v>
      </c>
      <c r="I31" s="329">
        <f t="shared" si="7"/>
        <v>0</v>
      </c>
      <c r="J31" s="329">
        <f t="shared" si="7"/>
        <v>0</v>
      </c>
      <c r="K31" s="329">
        <f t="shared" si="7"/>
        <v>0</v>
      </c>
      <c r="L31" s="329">
        <f t="shared" si="7"/>
        <v>0</v>
      </c>
      <c r="M31" s="329">
        <f t="shared" si="7"/>
        <v>0</v>
      </c>
      <c r="N31" s="329">
        <f t="shared" si="7"/>
        <v>0</v>
      </c>
      <c r="O31" s="521">
        <f t="shared" si="7"/>
        <v>0</v>
      </c>
      <c r="P31" s="289">
        <f>SUM(D31:O31)</f>
        <v>0</v>
      </c>
    </row>
    <row r="32" spans="1:16" s="2" customFormat="1" ht="12.75">
      <c r="A32" s="164" t="s">
        <v>108</v>
      </c>
      <c r="B32" s="5" t="str">
        <f>VLOOKUP(A32,Справочники!$B:$F,3,FALSE)</f>
        <v>Проценты по долгосрочным кредитам банков начисленные</v>
      </c>
      <c r="C32" s="82"/>
      <c r="D32" s="1066">
        <f aca="true" t="shared" si="8" ref="D32:O32">D40+D48</f>
        <v>0</v>
      </c>
      <c r="E32" s="329">
        <f t="shared" si="8"/>
        <v>0</v>
      </c>
      <c r="F32" s="329">
        <f t="shared" si="8"/>
        <v>0</v>
      </c>
      <c r="G32" s="329">
        <f t="shared" si="8"/>
        <v>0</v>
      </c>
      <c r="H32" s="329">
        <f t="shared" si="8"/>
        <v>0</v>
      </c>
      <c r="I32" s="329">
        <f t="shared" si="8"/>
        <v>0</v>
      </c>
      <c r="J32" s="329">
        <f t="shared" si="8"/>
        <v>0</v>
      </c>
      <c r="K32" s="329">
        <f t="shared" si="8"/>
        <v>0</v>
      </c>
      <c r="L32" s="329">
        <f t="shared" si="8"/>
        <v>0</v>
      </c>
      <c r="M32" s="329">
        <f t="shared" si="8"/>
        <v>0</v>
      </c>
      <c r="N32" s="329">
        <f t="shared" si="8"/>
        <v>0</v>
      </c>
      <c r="O32" s="521">
        <f t="shared" si="8"/>
        <v>0</v>
      </c>
      <c r="P32" s="82">
        <f>SUM(D32:O32)</f>
        <v>0</v>
      </c>
    </row>
    <row r="33" spans="1:16" s="2" customFormat="1" ht="12.75">
      <c r="A33" s="164" t="s">
        <v>108</v>
      </c>
      <c r="B33" s="5" t="str">
        <f>VLOOKUP(A33,Справочники!$B:$F,4,FALSE)</f>
        <v>Проценты по долгосрочным кредитам банков выплаченные</v>
      </c>
      <c r="C33" s="328"/>
      <c r="D33" s="328">
        <f aca="true" t="shared" si="9" ref="D33:O33">D41+D49</f>
        <v>0</v>
      </c>
      <c r="E33" s="329">
        <f t="shared" si="9"/>
        <v>0</v>
      </c>
      <c r="F33" s="329">
        <f t="shared" si="9"/>
        <v>0</v>
      </c>
      <c r="G33" s="329">
        <f t="shared" si="9"/>
        <v>0</v>
      </c>
      <c r="H33" s="329">
        <f t="shared" si="9"/>
        <v>0</v>
      </c>
      <c r="I33" s="329">
        <f t="shared" si="9"/>
        <v>0</v>
      </c>
      <c r="J33" s="329">
        <f t="shared" si="9"/>
        <v>0</v>
      </c>
      <c r="K33" s="329">
        <f t="shared" si="9"/>
        <v>0</v>
      </c>
      <c r="L33" s="329">
        <f t="shared" si="9"/>
        <v>0</v>
      </c>
      <c r="M33" s="329">
        <f t="shared" si="9"/>
        <v>0</v>
      </c>
      <c r="N33" s="329">
        <f t="shared" si="9"/>
        <v>0</v>
      </c>
      <c r="O33" s="521">
        <f t="shared" si="9"/>
        <v>0</v>
      </c>
      <c r="P33" s="82">
        <f>SUM(D33:O33)</f>
        <v>0</v>
      </c>
    </row>
    <row r="34" spans="1:16" s="2" customFormat="1" ht="12.75">
      <c r="A34" s="164" t="s">
        <v>363</v>
      </c>
      <c r="B34" s="4" t="str">
        <f>VLOOKUP(A34,Справочники!$B:$F,4,FALSE)</f>
        <v>Выплаты долгосрочных кредитов</v>
      </c>
      <c r="C34" s="520"/>
      <c r="D34" s="328">
        <f aca="true" t="shared" si="10" ref="D34:O34">D42+D50</f>
        <v>0</v>
      </c>
      <c r="E34" s="329">
        <f t="shared" si="10"/>
        <v>0</v>
      </c>
      <c r="F34" s="329">
        <f t="shared" si="10"/>
        <v>0</v>
      </c>
      <c r="G34" s="329">
        <f t="shared" si="10"/>
        <v>0</v>
      </c>
      <c r="H34" s="329">
        <f t="shared" si="10"/>
        <v>0</v>
      </c>
      <c r="I34" s="329">
        <f t="shared" si="10"/>
        <v>0</v>
      </c>
      <c r="J34" s="329">
        <f t="shared" si="10"/>
        <v>0</v>
      </c>
      <c r="K34" s="329">
        <f t="shared" si="10"/>
        <v>0</v>
      </c>
      <c r="L34" s="329">
        <f t="shared" si="10"/>
        <v>0</v>
      </c>
      <c r="M34" s="329">
        <f t="shared" si="10"/>
        <v>0</v>
      </c>
      <c r="N34" s="329">
        <f t="shared" si="10"/>
        <v>0</v>
      </c>
      <c r="O34" s="521">
        <f t="shared" si="10"/>
        <v>0</v>
      </c>
      <c r="P34" s="289">
        <f>SUM(D34:O34)</f>
        <v>0</v>
      </c>
    </row>
    <row r="35" spans="1:16" s="2" customFormat="1" ht="12.75">
      <c r="A35" s="327"/>
      <c r="B35" s="4" t="s">
        <v>164</v>
      </c>
      <c r="C35" s="756">
        <f>C43+C51</f>
        <v>0</v>
      </c>
      <c r="D35" s="523">
        <f aca="true" t="shared" si="11" ref="D35:O35">D43+D51</f>
        <v>0</v>
      </c>
      <c r="E35" s="524">
        <f t="shared" si="11"/>
        <v>0</v>
      </c>
      <c r="F35" s="524">
        <f t="shared" si="11"/>
        <v>0</v>
      </c>
      <c r="G35" s="524">
        <f t="shared" si="11"/>
        <v>0</v>
      </c>
      <c r="H35" s="524">
        <f t="shared" si="11"/>
        <v>0</v>
      </c>
      <c r="I35" s="524">
        <f t="shared" si="11"/>
        <v>0</v>
      </c>
      <c r="J35" s="524">
        <f t="shared" si="11"/>
        <v>0</v>
      </c>
      <c r="K35" s="524">
        <f t="shared" si="11"/>
        <v>0</v>
      </c>
      <c r="L35" s="524">
        <f t="shared" si="11"/>
        <v>0</v>
      </c>
      <c r="M35" s="524">
        <f t="shared" si="11"/>
        <v>0</v>
      </c>
      <c r="N35" s="524">
        <f t="shared" si="11"/>
        <v>0</v>
      </c>
      <c r="O35" s="525">
        <f t="shared" si="11"/>
        <v>0</v>
      </c>
      <c r="P35" s="239">
        <f>P30+P31-P34</f>
        <v>0</v>
      </c>
    </row>
    <row r="36" ht="12.75">
      <c r="B36" s="334" t="s">
        <v>487</v>
      </c>
    </row>
    <row r="37" ht="12.75">
      <c r="B37" s="334" t="s">
        <v>484</v>
      </c>
    </row>
    <row r="38" spans="1:16" s="2" customFormat="1" ht="12.75">
      <c r="A38" s="326"/>
      <c r="B38" s="4" t="s">
        <v>163</v>
      </c>
      <c r="C38" s="66"/>
      <c r="D38" s="252">
        <f aca="true" t="shared" si="12" ref="D38:O38">C43</f>
        <v>0</v>
      </c>
      <c r="E38" s="61">
        <f t="shared" si="12"/>
        <v>0</v>
      </c>
      <c r="F38" s="61">
        <f t="shared" si="12"/>
        <v>0</v>
      </c>
      <c r="G38" s="61">
        <f t="shared" si="12"/>
        <v>0</v>
      </c>
      <c r="H38" s="61">
        <f t="shared" si="12"/>
        <v>0</v>
      </c>
      <c r="I38" s="61">
        <f t="shared" si="12"/>
        <v>0</v>
      </c>
      <c r="J38" s="61">
        <f t="shared" si="12"/>
        <v>0</v>
      </c>
      <c r="K38" s="61">
        <f t="shared" si="12"/>
        <v>0</v>
      </c>
      <c r="L38" s="61">
        <f t="shared" si="12"/>
        <v>0</v>
      </c>
      <c r="M38" s="61">
        <f t="shared" si="12"/>
        <v>0</v>
      </c>
      <c r="N38" s="61">
        <f t="shared" si="12"/>
        <v>0</v>
      </c>
      <c r="O38" s="62">
        <f t="shared" si="12"/>
        <v>0</v>
      </c>
      <c r="P38" s="288">
        <f>C43</f>
        <v>0</v>
      </c>
    </row>
    <row r="39" spans="1:16" s="2" customFormat="1" ht="12.75">
      <c r="A39" s="164" t="s">
        <v>354</v>
      </c>
      <c r="B39" s="4" t="str">
        <f>VLOOKUP(A39,Справочники!$B:$F,4,FALSE)</f>
        <v>Поступления долгосрочных кредитов</v>
      </c>
      <c r="C39" s="520"/>
      <c r="D39" s="287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289">
        <f>SUM(D39:O39)</f>
        <v>0</v>
      </c>
    </row>
    <row r="40" spans="1:16" s="2" customFormat="1" ht="12.75">
      <c r="A40" s="164" t="s">
        <v>108</v>
      </c>
      <c r="B40" s="5" t="str">
        <f>VLOOKUP(A40,Справочники!$B:$F,3,FALSE)</f>
        <v>Проценты по долгосрочным кредитам банков начисленные</v>
      </c>
      <c r="C40" s="82"/>
      <c r="D40" s="38">
        <f>C43*Параметры!D$20/4</f>
        <v>0</v>
      </c>
      <c r="E40" s="39">
        <f>D43*Параметры!E$20/4</f>
        <v>0</v>
      </c>
      <c r="F40" s="39">
        <f>E43*Параметры!F$20/4</f>
        <v>0</v>
      </c>
      <c r="G40" s="39">
        <f>F43*Параметры!G$20/4</f>
        <v>0</v>
      </c>
      <c r="H40" s="39">
        <f>G43*Параметры!H$20</f>
        <v>0</v>
      </c>
      <c r="I40" s="39">
        <f>H43*Параметры!I$20</f>
        <v>0</v>
      </c>
      <c r="J40" s="39">
        <f>I43*Параметры!J$20</f>
        <v>0</v>
      </c>
      <c r="K40" s="39">
        <f>J43*Параметры!K$20</f>
        <v>0</v>
      </c>
      <c r="L40" s="39">
        <f>K43*Параметры!L$20</f>
        <v>0</v>
      </c>
      <c r="M40" s="39">
        <f>L43*Параметры!M$20</f>
        <v>0</v>
      </c>
      <c r="N40" s="39">
        <f>M43*Параметры!N$20</f>
        <v>0</v>
      </c>
      <c r="O40" s="40">
        <f>N43*Параметры!O$20</f>
        <v>0</v>
      </c>
      <c r="P40" s="82">
        <f>SUM(D40:O40)</f>
        <v>0</v>
      </c>
    </row>
    <row r="41" spans="1:16" s="2" customFormat="1" ht="12.75">
      <c r="A41" s="164" t="s">
        <v>108</v>
      </c>
      <c r="B41" s="5" t="str">
        <f>VLOOKUP(A41,Справочники!$B:$F,4,FALSE)</f>
        <v>Проценты по долгосрочным кредитам банков выплаченные</v>
      </c>
      <c r="C41" s="328"/>
      <c r="D41" s="41">
        <f aca="true" t="shared" si="13" ref="D41:O41">D40</f>
        <v>0</v>
      </c>
      <c r="E41" s="39">
        <f t="shared" si="13"/>
        <v>0</v>
      </c>
      <c r="F41" s="39">
        <f t="shared" si="13"/>
        <v>0</v>
      </c>
      <c r="G41" s="39">
        <f t="shared" si="13"/>
        <v>0</v>
      </c>
      <c r="H41" s="39">
        <f t="shared" si="13"/>
        <v>0</v>
      </c>
      <c r="I41" s="39">
        <f t="shared" si="13"/>
        <v>0</v>
      </c>
      <c r="J41" s="39">
        <f t="shared" si="13"/>
        <v>0</v>
      </c>
      <c r="K41" s="39">
        <f t="shared" si="13"/>
        <v>0</v>
      </c>
      <c r="L41" s="39">
        <f t="shared" si="13"/>
        <v>0</v>
      </c>
      <c r="M41" s="39">
        <f t="shared" si="13"/>
        <v>0</v>
      </c>
      <c r="N41" s="39">
        <f t="shared" si="13"/>
        <v>0</v>
      </c>
      <c r="O41" s="40">
        <f t="shared" si="13"/>
        <v>0</v>
      </c>
      <c r="P41" s="82">
        <f>SUM(D41:O41)</f>
        <v>0</v>
      </c>
    </row>
    <row r="42" spans="1:16" s="2" customFormat="1" ht="12.75">
      <c r="A42" s="164" t="s">
        <v>363</v>
      </c>
      <c r="B42" s="4" t="str">
        <f>VLOOKUP(A42,Справочники!$B:$F,4,FALSE)</f>
        <v>Выплаты долгосрочных кредитов</v>
      </c>
      <c r="C42" s="520"/>
      <c r="D42" s="287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2"/>
      <c r="P42" s="289">
        <f>SUM(D42:O42)</f>
        <v>0</v>
      </c>
    </row>
    <row r="43" spans="1:16" s="2" customFormat="1" ht="12.75">
      <c r="A43" s="327"/>
      <c r="B43" s="4" t="s">
        <v>164</v>
      </c>
      <c r="C43" s="756">
        <v>0</v>
      </c>
      <c r="D43" s="244">
        <f aca="true" t="shared" si="14" ref="D43:P43">D38+D39-D42</f>
        <v>0</v>
      </c>
      <c r="E43" s="64">
        <f t="shared" si="14"/>
        <v>0</v>
      </c>
      <c r="F43" s="64">
        <f t="shared" si="14"/>
        <v>0</v>
      </c>
      <c r="G43" s="64">
        <f t="shared" si="14"/>
        <v>0</v>
      </c>
      <c r="H43" s="64">
        <f t="shared" si="14"/>
        <v>0</v>
      </c>
      <c r="I43" s="64">
        <f t="shared" si="14"/>
        <v>0</v>
      </c>
      <c r="J43" s="64">
        <f t="shared" si="14"/>
        <v>0</v>
      </c>
      <c r="K43" s="64">
        <f t="shared" si="14"/>
        <v>0</v>
      </c>
      <c r="L43" s="64">
        <f t="shared" si="14"/>
        <v>0</v>
      </c>
      <c r="M43" s="64">
        <f t="shared" si="14"/>
        <v>0</v>
      </c>
      <c r="N43" s="64">
        <f t="shared" si="14"/>
        <v>0</v>
      </c>
      <c r="O43" s="65">
        <f t="shared" si="14"/>
        <v>0</v>
      </c>
      <c r="P43" s="239">
        <f t="shared" si="14"/>
        <v>0</v>
      </c>
    </row>
    <row r="44" ht="12.75">
      <c r="B44" s="73"/>
    </row>
    <row r="45" ht="12.75">
      <c r="B45" s="334" t="s">
        <v>485</v>
      </c>
    </row>
    <row r="46" spans="1:16" s="2" customFormat="1" ht="12.75">
      <c r="A46" s="326"/>
      <c r="B46" s="4" t="s">
        <v>163</v>
      </c>
      <c r="C46" s="66"/>
      <c r="D46" s="252">
        <f aca="true" t="shared" si="15" ref="D46:O46">C51</f>
        <v>0</v>
      </c>
      <c r="E46" s="61">
        <f t="shared" si="15"/>
        <v>0</v>
      </c>
      <c r="F46" s="61">
        <f t="shared" si="15"/>
        <v>0</v>
      </c>
      <c r="G46" s="61">
        <f t="shared" si="15"/>
        <v>0</v>
      </c>
      <c r="H46" s="61">
        <f t="shared" si="15"/>
        <v>0</v>
      </c>
      <c r="I46" s="61">
        <f t="shared" si="15"/>
        <v>0</v>
      </c>
      <c r="J46" s="61">
        <f t="shared" si="15"/>
        <v>0</v>
      </c>
      <c r="K46" s="61">
        <f t="shared" si="15"/>
        <v>0</v>
      </c>
      <c r="L46" s="61">
        <f t="shared" si="15"/>
        <v>0</v>
      </c>
      <c r="M46" s="61">
        <f t="shared" si="15"/>
        <v>0</v>
      </c>
      <c r="N46" s="61">
        <f t="shared" si="15"/>
        <v>0</v>
      </c>
      <c r="O46" s="62">
        <f t="shared" si="15"/>
        <v>0</v>
      </c>
      <c r="P46" s="288">
        <f>C51</f>
        <v>0</v>
      </c>
    </row>
    <row r="47" spans="1:16" s="2" customFormat="1" ht="12.75">
      <c r="A47" s="164" t="s">
        <v>354</v>
      </c>
      <c r="B47" s="4" t="str">
        <f>VLOOKUP(A47,Справочники!$B:$F,4,FALSE)</f>
        <v>Поступления долгосрочных кредитов</v>
      </c>
      <c r="C47" s="520"/>
      <c r="D47" s="287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289">
        <f>SUM(D47:O47)</f>
        <v>0</v>
      </c>
    </row>
    <row r="48" spans="1:16" s="2" customFormat="1" ht="12.75">
      <c r="A48" s="164" t="s">
        <v>108</v>
      </c>
      <c r="B48" s="5" t="str">
        <f>VLOOKUP(A48,Справочники!$B:$F,3,FALSE)</f>
        <v>Проценты по долгосрочным кредитам банков начисленные</v>
      </c>
      <c r="C48" s="82"/>
      <c r="D48" s="38">
        <f>C51*Параметры!D$21/4</f>
        <v>0</v>
      </c>
      <c r="E48" s="39">
        <f>D51*Параметры!E$21/4</f>
        <v>0</v>
      </c>
      <c r="F48" s="39">
        <f>E51*Параметры!F$21/4</f>
        <v>0</v>
      </c>
      <c r="G48" s="39">
        <f>F51*Параметры!G$21/4</f>
        <v>0</v>
      </c>
      <c r="H48" s="39">
        <f>G51*Параметры!H$21/4</f>
        <v>0</v>
      </c>
      <c r="I48" s="39">
        <f>H51*Параметры!I$21/4</f>
        <v>0</v>
      </c>
      <c r="J48" s="39">
        <f>I51*Параметры!J$21/4</f>
        <v>0</v>
      </c>
      <c r="K48" s="39">
        <f>J51*Параметры!K$21/4</f>
        <v>0</v>
      </c>
      <c r="L48" s="39">
        <f>K51*Параметры!L$21/4</f>
        <v>0</v>
      </c>
      <c r="M48" s="39">
        <f>L51*Параметры!M$21/4</f>
        <v>0</v>
      </c>
      <c r="N48" s="39">
        <f>M51*Параметры!N$21/4</f>
        <v>0</v>
      </c>
      <c r="O48" s="40">
        <f>N51*Параметры!O$21/4</f>
        <v>0</v>
      </c>
      <c r="P48" s="82">
        <f>SUM(D48:O48)</f>
        <v>0</v>
      </c>
    </row>
    <row r="49" spans="1:16" s="2" customFormat="1" ht="12.75">
      <c r="A49" s="164" t="s">
        <v>108</v>
      </c>
      <c r="B49" s="5" t="str">
        <f>VLOOKUP(A49,Справочники!$B:$F,4,FALSE)</f>
        <v>Проценты по долгосрочным кредитам банков выплаченные</v>
      </c>
      <c r="C49" s="328"/>
      <c r="D49" s="41">
        <f aca="true" t="shared" si="16" ref="D49:O49">D48</f>
        <v>0</v>
      </c>
      <c r="E49" s="39">
        <f t="shared" si="16"/>
        <v>0</v>
      </c>
      <c r="F49" s="39">
        <f t="shared" si="16"/>
        <v>0</v>
      </c>
      <c r="G49" s="39">
        <f t="shared" si="16"/>
        <v>0</v>
      </c>
      <c r="H49" s="39">
        <f t="shared" si="16"/>
        <v>0</v>
      </c>
      <c r="I49" s="39">
        <f t="shared" si="16"/>
        <v>0</v>
      </c>
      <c r="J49" s="39">
        <f t="shared" si="16"/>
        <v>0</v>
      </c>
      <c r="K49" s="39">
        <f t="shared" si="16"/>
        <v>0</v>
      </c>
      <c r="L49" s="39">
        <f t="shared" si="16"/>
        <v>0</v>
      </c>
      <c r="M49" s="39">
        <f t="shared" si="16"/>
        <v>0</v>
      </c>
      <c r="N49" s="39">
        <f t="shared" si="16"/>
        <v>0</v>
      </c>
      <c r="O49" s="40">
        <f t="shared" si="16"/>
        <v>0</v>
      </c>
      <c r="P49" s="82">
        <f>SUM(D49:O49)</f>
        <v>0</v>
      </c>
    </row>
    <row r="50" spans="1:16" s="2" customFormat="1" ht="12.75">
      <c r="A50" s="164" t="s">
        <v>363</v>
      </c>
      <c r="B50" s="4" t="str">
        <f>VLOOKUP(A50,Справочники!$B:$F,4,FALSE)</f>
        <v>Выплаты долгосрочных кредитов</v>
      </c>
      <c r="C50" s="520"/>
      <c r="D50" s="287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2"/>
      <c r="P50" s="289">
        <f>SUM(D50:O50)</f>
        <v>0</v>
      </c>
    </row>
    <row r="51" spans="1:16" s="2" customFormat="1" ht="12.75">
      <c r="A51" s="327"/>
      <c r="B51" s="4" t="s">
        <v>164</v>
      </c>
      <c r="C51" s="756">
        <v>0</v>
      </c>
      <c r="D51" s="244">
        <f aca="true" t="shared" si="17" ref="D51:P51">D46+D47-D50</f>
        <v>0</v>
      </c>
      <c r="E51" s="64">
        <f t="shared" si="17"/>
        <v>0</v>
      </c>
      <c r="F51" s="64">
        <f t="shared" si="17"/>
        <v>0</v>
      </c>
      <c r="G51" s="64">
        <f t="shared" si="17"/>
        <v>0</v>
      </c>
      <c r="H51" s="64">
        <f t="shared" si="17"/>
        <v>0</v>
      </c>
      <c r="I51" s="64">
        <f t="shared" si="17"/>
        <v>0</v>
      </c>
      <c r="J51" s="64">
        <f t="shared" si="17"/>
        <v>0</v>
      </c>
      <c r="K51" s="64">
        <f t="shared" si="17"/>
        <v>0</v>
      </c>
      <c r="L51" s="64">
        <f t="shared" si="17"/>
        <v>0</v>
      </c>
      <c r="M51" s="64">
        <f t="shared" si="17"/>
        <v>0</v>
      </c>
      <c r="N51" s="64">
        <f t="shared" si="17"/>
        <v>0</v>
      </c>
      <c r="O51" s="65">
        <f t="shared" si="17"/>
        <v>0</v>
      </c>
      <c r="P51" s="239">
        <f t="shared" si="17"/>
        <v>0</v>
      </c>
    </row>
    <row r="52" ht="12.75">
      <c r="B52" s="73"/>
    </row>
    <row r="53" ht="12.75">
      <c r="B53" s="73"/>
    </row>
    <row r="54" spans="1:2" s="318" customFormat="1" ht="12.75">
      <c r="A54" s="485" t="s">
        <v>5</v>
      </c>
      <c r="B54" s="70" t="s">
        <v>165</v>
      </c>
    </row>
    <row r="55" spans="1:16" s="2" customFormat="1" ht="12.75">
      <c r="A55" s="326"/>
      <c r="B55" s="4" t="s">
        <v>163</v>
      </c>
      <c r="C55" s="66"/>
      <c r="D55" s="252">
        <f aca="true" t="shared" si="18" ref="D55:O55">C60</f>
        <v>100000</v>
      </c>
      <c r="E55" s="61">
        <f t="shared" si="18"/>
        <v>91667</v>
      </c>
      <c r="F55" s="61">
        <f t="shared" si="18"/>
        <v>66668</v>
      </c>
      <c r="G55" s="61">
        <f t="shared" si="18"/>
        <v>41669</v>
      </c>
      <c r="H55" s="61">
        <f t="shared" si="18"/>
        <v>16670</v>
      </c>
      <c r="I55" s="61">
        <f t="shared" si="18"/>
        <v>250000</v>
      </c>
      <c r="J55" s="61">
        <f t="shared" si="18"/>
        <v>0</v>
      </c>
      <c r="K55" s="61">
        <f t="shared" si="18"/>
        <v>0</v>
      </c>
      <c r="L55" s="61">
        <f t="shared" si="18"/>
        <v>0</v>
      </c>
      <c r="M55" s="61">
        <f t="shared" si="18"/>
        <v>0</v>
      </c>
      <c r="N55" s="61">
        <f t="shared" si="18"/>
        <v>0</v>
      </c>
      <c r="O55" s="62">
        <f t="shared" si="18"/>
        <v>0</v>
      </c>
      <c r="P55" s="288">
        <f>C60</f>
        <v>100000</v>
      </c>
    </row>
    <row r="56" spans="1:16" s="2" customFormat="1" ht="12.75">
      <c r="A56" s="164" t="s">
        <v>353</v>
      </c>
      <c r="B56" s="4" t="str">
        <f>VLOOKUP(A56,Справочники!$B:$F,4,FALSE)</f>
        <v>Поступления краткосрочных кредитов</v>
      </c>
      <c r="C56" s="328"/>
      <c r="D56" s="328">
        <f>SUM(D64,D72,D80)</f>
        <v>0</v>
      </c>
      <c r="E56" s="329">
        <f aca="true" t="shared" si="19" ref="E56:O56">SUM(E64,E72,E80)</f>
        <v>0</v>
      </c>
      <c r="F56" s="329">
        <f t="shared" si="19"/>
        <v>0</v>
      </c>
      <c r="G56" s="329">
        <f t="shared" si="19"/>
        <v>0</v>
      </c>
      <c r="H56" s="329">
        <f t="shared" si="19"/>
        <v>300000</v>
      </c>
      <c r="I56" s="329">
        <f t="shared" si="19"/>
        <v>0</v>
      </c>
      <c r="J56" s="329">
        <f t="shared" si="19"/>
        <v>0</v>
      </c>
      <c r="K56" s="329">
        <f t="shared" si="19"/>
        <v>0</v>
      </c>
      <c r="L56" s="329">
        <f t="shared" si="19"/>
        <v>0</v>
      </c>
      <c r="M56" s="329">
        <f t="shared" si="19"/>
        <v>0</v>
      </c>
      <c r="N56" s="329">
        <f t="shared" si="19"/>
        <v>0</v>
      </c>
      <c r="O56" s="521">
        <f t="shared" si="19"/>
        <v>0</v>
      </c>
      <c r="P56" s="82">
        <f>SUM(D56:O56)</f>
        <v>300000</v>
      </c>
    </row>
    <row r="57" spans="1:16" s="2" customFormat="1" ht="12.75">
      <c r="A57" s="164" t="s">
        <v>109</v>
      </c>
      <c r="B57" s="5" t="str">
        <f>VLOOKUP(A57,Справочники!$B:$F,3,FALSE)</f>
        <v>Проценты по краткосрочным кредитам банков начисленные</v>
      </c>
      <c r="C57" s="328"/>
      <c r="D57" s="328">
        <f>SUM(D65,D73,D81)</f>
        <v>2674</v>
      </c>
      <c r="E57" s="329">
        <f aca="true" t="shared" si="20" ref="E57:O57">SUM(E65,E73,E81)</f>
        <v>2062.5074999999997</v>
      </c>
      <c r="F57" s="329">
        <f t="shared" si="20"/>
        <v>1374.8608299999999</v>
      </c>
      <c r="G57" s="329">
        <f t="shared" si="20"/>
        <v>687.95519</v>
      </c>
      <c r="H57" s="329">
        <f t="shared" si="20"/>
        <v>23313</v>
      </c>
      <c r="I57" s="329">
        <f t="shared" si="20"/>
        <v>10312.5</v>
      </c>
      <c r="J57" s="329">
        <f t="shared" si="20"/>
        <v>0</v>
      </c>
      <c r="K57" s="329">
        <f t="shared" si="20"/>
        <v>0</v>
      </c>
      <c r="L57" s="329">
        <f t="shared" si="20"/>
        <v>0</v>
      </c>
      <c r="M57" s="329">
        <f t="shared" si="20"/>
        <v>0</v>
      </c>
      <c r="N57" s="329">
        <f t="shared" si="20"/>
        <v>0</v>
      </c>
      <c r="O57" s="521">
        <f t="shared" si="20"/>
        <v>0</v>
      </c>
      <c r="P57" s="82">
        <f>SUM(D57:O57)</f>
        <v>40424.82352</v>
      </c>
    </row>
    <row r="58" spans="1:16" s="2" customFormat="1" ht="12.75">
      <c r="A58" s="164" t="s">
        <v>109</v>
      </c>
      <c r="B58" s="5" t="str">
        <f>VLOOKUP(A58,Справочники!$B:$F,4,FALSE)</f>
        <v>Проценты по краткосрочным кредитам банков выплаченные</v>
      </c>
      <c r="C58" s="520"/>
      <c r="D58" s="328">
        <f>SUM(D66,D74,D82)</f>
        <v>2674</v>
      </c>
      <c r="E58" s="329">
        <f aca="true" t="shared" si="21" ref="E58:O58">SUM(E66,E74,E82)</f>
        <v>2062.5074999999997</v>
      </c>
      <c r="F58" s="329">
        <f t="shared" si="21"/>
        <v>1374.8608299999999</v>
      </c>
      <c r="G58" s="329">
        <f t="shared" si="21"/>
        <v>687.95519</v>
      </c>
      <c r="H58" s="329">
        <f t="shared" si="21"/>
        <v>23313</v>
      </c>
      <c r="I58" s="329">
        <f t="shared" si="21"/>
        <v>10312.5</v>
      </c>
      <c r="J58" s="329">
        <f t="shared" si="21"/>
        <v>0</v>
      </c>
      <c r="K58" s="329">
        <f t="shared" si="21"/>
        <v>0</v>
      </c>
      <c r="L58" s="329">
        <f t="shared" si="21"/>
        <v>0</v>
      </c>
      <c r="M58" s="329">
        <f t="shared" si="21"/>
        <v>0</v>
      </c>
      <c r="N58" s="329">
        <f t="shared" si="21"/>
        <v>0</v>
      </c>
      <c r="O58" s="521">
        <f t="shared" si="21"/>
        <v>0</v>
      </c>
      <c r="P58" s="82">
        <f>SUM(D58:O58)</f>
        <v>40424.82352</v>
      </c>
    </row>
    <row r="59" spans="1:16" s="2" customFormat="1" ht="12.75">
      <c r="A59" s="164" t="s">
        <v>362</v>
      </c>
      <c r="B59" s="4" t="str">
        <f>VLOOKUP(A59,Справочники!$B:$F,4,FALSE)</f>
        <v>Выплаты краткосрочных кредитов</v>
      </c>
      <c r="C59" s="520"/>
      <c r="D59" s="328">
        <f>SUM(D67,D75,D83)</f>
        <v>8333</v>
      </c>
      <c r="E59" s="329">
        <f aca="true" t="shared" si="22" ref="E59:O59">SUM(E67,E75,E83)</f>
        <v>24999</v>
      </c>
      <c r="F59" s="329">
        <f t="shared" si="22"/>
        <v>24999</v>
      </c>
      <c r="G59" s="329">
        <f t="shared" si="22"/>
        <v>24999</v>
      </c>
      <c r="H59" s="329">
        <f t="shared" si="22"/>
        <v>66670</v>
      </c>
      <c r="I59" s="329">
        <f t="shared" si="22"/>
        <v>250000</v>
      </c>
      <c r="J59" s="329">
        <f t="shared" si="22"/>
        <v>0</v>
      </c>
      <c r="K59" s="329">
        <f t="shared" si="22"/>
        <v>0</v>
      </c>
      <c r="L59" s="329">
        <f t="shared" si="22"/>
        <v>0</v>
      </c>
      <c r="M59" s="329">
        <f t="shared" si="22"/>
        <v>0</v>
      </c>
      <c r="N59" s="329">
        <f t="shared" si="22"/>
        <v>0</v>
      </c>
      <c r="O59" s="521">
        <f t="shared" si="22"/>
        <v>0</v>
      </c>
      <c r="P59" s="82">
        <f>SUM(D59:O59)</f>
        <v>400000</v>
      </c>
    </row>
    <row r="60" spans="1:16" s="2" customFormat="1" ht="12.75">
      <c r="A60" s="327"/>
      <c r="B60" s="4" t="s">
        <v>164</v>
      </c>
      <c r="C60" s="63">
        <f>C68+C76+C84</f>
        <v>100000</v>
      </c>
      <c r="D60" s="244">
        <f aca="true" t="shared" si="23" ref="D60:O60">D55+D56-D59</f>
        <v>91667</v>
      </c>
      <c r="E60" s="64">
        <f t="shared" si="23"/>
        <v>66668</v>
      </c>
      <c r="F60" s="64">
        <f t="shared" si="23"/>
        <v>41669</v>
      </c>
      <c r="G60" s="64">
        <f t="shared" si="23"/>
        <v>16670</v>
      </c>
      <c r="H60" s="64">
        <f t="shared" si="23"/>
        <v>250000</v>
      </c>
      <c r="I60" s="64">
        <f t="shared" si="23"/>
        <v>0</v>
      </c>
      <c r="J60" s="64">
        <f t="shared" si="23"/>
        <v>0</v>
      </c>
      <c r="K60" s="64">
        <f t="shared" si="23"/>
        <v>0</v>
      </c>
      <c r="L60" s="64">
        <f t="shared" si="23"/>
        <v>0</v>
      </c>
      <c r="M60" s="64">
        <f t="shared" si="23"/>
        <v>0</v>
      </c>
      <c r="N60" s="64">
        <f t="shared" si="23"/>
        <v>0</v>
      </c>
      <c r="O60" s="65">
        <f t="shared" si="23"/>
        <v>0</v>
      </c>
      <c r="P60" s="239">
        <f>P55+P56-P59</f>
        <v>0</v>
      </c>
    </row>
    <row r="61" spans="1:16" s="2" customFormat="1" ht="12.75">
      <c r="A61" s="36"/>
      <c r="B61" s="334" t="s">
        <v>487</v>
      </c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</row>
    <row r="62" spans="1:16" s="2" customFormat="1" ht="12.75" outlineLevel="1">
      <c r="A62" s="36"/>
      <c r="B62" s="334" t="s">
        <v>484</v>
      </c>
      <c r="C62" s="1157"/>
      <c r="D62" s="1157"/>
      <c r="E62" s="75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</row>
    <row r="63" spans="1:16" s="2" customFormat="1" ht="12.75" outlineLevel="1">
      <c r="A63" s="326"/>
      <c r="B63" s="4" t="s">
        <v>163</v>
      </c>
      <c r="C63" s="515"/>
      <c r="D63" s="252">
        <f aca="true" t="shared" si="24" ref="D63:O63">C68</f>
        <v>100000</v>
      </c>
      <c r="E63" s="61">
        <f t="shared" si="24"/>
        <v>91667</v>
      </c>
      <c r="F63" s="61">
        <f t="shared" si="24"/>
        <v>66668</v>
      </c>
      <c r="G63" s="61">
        <f t="shared" si="24"/>
        <v>41669</v>
      </c>
      <c r="H63" s="61">
        <f t="shared" si="24"/>
        <v>16670</v>
      </c>
      <c r="I63" s="61">
        <f t="shared" si="24"/>
        <v>0</v>
      </c>
      <c r="J63" s="61">
        <f t="shared" si="24"/>
        <v>0</v>
      </c>
      <c r="K63" s="61">
        <f t="shared" si="24"/>
        <v>0</v>
      </c>
      <c r="L63" s="61">
        <f t="shared" si="24"/>
        <v>0</v>
      </c>
      <c r="M63" s="61">
        <f t="shared" si="24"/>
        <v>0</v>
      </c>
      <c r="N63" s="61">
        <f t="shared" si="24"/>
        <v>0</v>
      </c>
      <c r="O63" s="62">
        <f t="shared" si="24"/>
        <v>0</v>
      </c>
      <c r="P63" s="288">
        <f>C68</f>
        <v>100000</v>
      </c>
    </row>
    <row r="64" spans="1:16" s="2" customFormat="1" ht="12.75" outlineLevel="1">
      <c r="A64" s="164" t="s">
        <v>353</v>
      </c>
      <c r="B64" s="4" t="str">
        <f>VLOOKUP(A64,Справочники!$B:$F,4,FALSE)</f>
        <v>Поступления краткосрочных кредитов</v>
      </c>
      <c r="C64" s="520"/>
      <c r="D64" s="287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2"/>
      <c r="P64" s="289">
        <f>SUM(D64:O64)</f>
        <v>0</v>
      </c>
    </row>
    <row r="65" spans="1:16" s="2" customFormat="1" ht="12.75" outlineLevel="1">
      <c r="A65" s="164" t="s">
        <v>109</v>
      </c>
      <c r="B65" s="5" t="str">
        <f>VLOOKUP(A65,Справочники!$B:$F,3,FALSE)</f>
        <v>Проценты по краткосрочным кредитам банков начисленные</v>
      </c>
      <c r="C65" s="520"/>
      <c r="D65" s="39">
        <f>(C68*Параметры!D$22)/4</f>
        <v>2674</v>
      </c>
      <c r="E65" s="39">
        <f>(D68*Параметры!E$22)/4</f>
        <v>2062.5074999999997</v>
      </c>
      <c r="F65" s="39">
        <f>(E68*Параметры!F$22)/4</f>
        <v>1374.8608299999999</v>
      </c>
      <c r="G65" s="39">
        <f>(F68*Параметры!G$22)/4</f>
        <v>687.95519</v>
      </c>
      <c r="H65" s="39">
        <f>G68*Параметры!H$22</f>
        <v>0</v>
      </c>
      <c r="I65" s="39">
        <f>H68*Параметры!I$22</f>
        <v>0</v>
      </c>
      <c r="J65" s="39">
        <f>I68*Параметры!J$22</f>
        <v>0</v>
      </c>
      <c r="K65" s="39">
        <f>J68*Параметры!K$22</f>
        <v>0</v>
      </c>
      <c r="L65" s="39">
        <f>K68*Параметры!L$22</f>
        <v>0</v>
      </c>
      <c r="M65" s="39">
        <f>L68*Параметры!M$22</f>
        <v>0</v>
      </c>
      <c r="N65" s="39">
        <f>M68*Параметры!N$22</f>
        <v>0</v>
      </c>
      <c r="O65" s="40">
        <f>N68*Параметры!O$22</f>
        <v>0</v>
      </c>
      <c r="P65" s="82">
        <f>SUM(D65:O65)</f>
        <v>6799.323519999999</v>
      </c>
    </row>
    <row r="66" spans="1:16" s="2" customFormat="1" ht="12.75" outlineLevel="1">
      <c r="A66" s="164" t="s">
        <v>109</v>
      </c>
      <c r="B66" s="5" t="str">
        <f>VLOOKUP(A66,Справочники!$B:$F,4,FALSE)</f>
        <v>Проценты по краткосрочным кредитам банков выплаченные</v>
      </c>
      <c r="C66" s="520"/>
      <c r="D66" s="41">
        <f aca="true" t="shared" si="25" ref="D66:O66">D65</f>
        <v>2674</v>
      </c>
      <c r="E66" s="39">
        <f t="shared" si="25"/>
        <v>2062.5074999999997</v>
      </c>
      <c r="F66" s="39">
        <f t="shared" si="25"/>
        <v>1374.8608299999999</v>
      </c>
      <c r="G66" s="39">
        <f t="shared" si="25"/>
        <v>687.95519</v>
      </c>
      <c r="H66" s="39">
        <f t="shared" si="25"/>
        <v>0</v>
      </c>
      <c r="I66" s="39">
        <f t="shared" si="25"/>
        <v>0</v>
      </c>
      <c r="J66" s="39">
        <f t="shared" si="25"/>
        <v>0</v>
      </c>
      <c r="K66" s="39">
        <f t="shared" si="25"/>
        <v>0</v>
      </c>
      <c r="L66" s="39">
        <f t="shared" si="25"/>
        <v>0</v>
      </c>
      <c r="M66" s="39">
        <f t="shared" si="25"/>
        <v>0</v>
      </c>
      <c r="N66" s="39">
        <f t="shared" si="25"/>
        <v>0</v>
      </c>
      <c r="O66" s="40">
        <f t="shared" si="25"/>
        <v>0</v>
      </c>
      <c r="P66" s="82">
        <f>SUM(D66:O66)</f>
        <v>6799.323519999999</v>
      </c>
    </row>
    <row r="67" spans="1:16" s="2" customFormat="1" ht="12.75" outlineLevel="1">
      <c r="A67" s="164" t="s">
        <v>362</v>
      </c>
      <c r="B67" s="4" t="str">
        <f>VLOOKUP(A67,Справочники!$B:$F,4,FALSE)</f>
        <v>Выплаты краткосрочных кредитов</v>
      </c>
      <c r="C67" s="520"/>
      <c r="D67" s="287">
        <v>8333</v>
      </c>
      <c r="E67" s="71">
        <f>8333*3</f>
        <v>24999</v>
      </c>
      <c r="F67" s="71">
        <f>8333*3</f>
        <v>24999</v>
      </c>
      <c r="G67" s="71">
        <f>8333*3</f>
        <v>24999</v>
      </c>
      <c r="H67" s="71">
        <f>8335*2</f>
        <v>16670</v>
      </c>
      <c r="I67" s="71"/>
      <c r="J67" s="71"/>
      <c r="K67" s="71"/>
      <c r="L67" s="71"/>
      <c r="M67" s="71"/>
      <c r="N67" s="71"/>
      <c r="O67" s="72"/>
      <c r="P67" s="289">
        <f>SUM(D67:O67)</f>
        <v>100000</v>
      </c>
    </row>
    <row r="68" spans="1:16" s="2" customFormat="1" ht="12.75" outlineLevel="1">
      <c r="A68" s="327"/>
      <c r="B68" s="4" t="s">
        <v>164</v>
      </c>
      <c r="C68" s="756">
        <v>100000</v>
      </c>
      <c r="D68" s="244">
        <f aca="true" t="shared" si="26" ref="D68:P68">D63+D64-D67</f>
        <v>91667</v>
      </c>
      <c r="E68" s="64">
        <f t="shared" si="26"/>
        <v>66668</v>
      </c>
      <c r="F68" s="64">
        <f t="shared" si="26"/>
        <v>41669</v>
      </c>
      <c r="G68" s="64">
        <f t="shared" si="26"/>
        <v>16670</v>
      </c>
      <c r="H68" s="64">
        <f t="shared" si="26"/>
        <v>0</v>
      </c>
      <c r="I68" s="64">
        <f t="shared" si="26"/>
        <v>0</v>
      </c>
      <c r="J68" s="64">
        <f t="shared" si="26"/>
        <v>0</v>
      </c>
      <c r="K68" s="64">
        <f t="shared" si="26"/>
        <v>0</v>
      </c>
      <c r="L68" s="64">
        <f t="shared" si="26"/>
        <v>0</v>
      </c>
      <c r="M68" s="64">
        <f t="shared" si="26"/>
        <v>0</v>
      </c>
      <c r="N68" s="64">
        <f t="shared" si="26"/>
        <v>0</v>
      </c>
      <c r="O68" s="65">
        <f t="shared" si="26"/>
        <v>0</v>
      </c>
      <c r="P68" s="239">
        <f t="shared" si="26"/>
        <v>0</v>
      </c>
    </row>
    <row r="69" spans="1:16" s="2" customFormat="1" ht="12.75" outlineLevel="1">
      <c r="A69" s="36"/>
      <c r="B69" s="36"/>
      <c r="C69" s="527"/>
      <c r="D69" s="527"/>
      <c r="E69" s="527"/>
      <c r="F69" s="527"/>
      <c r="G69" s="527"/>
      <c r="H69" s="527"/>
      <c r="I69" s="527"/>
      <c r="J69" s="527"/>
      <c r="K69" s="527"/>
      <c r="L69" s="527"/>
      <c r="M69" s="527"/>
      <c r="N69" s="527"/>
      <c r="O69" s="527"/>
      <c r="P69" s="527"/>
    </row>
    <row r="70" spans="1:16" s="2" customFormat="1" ht="12.75" outlineLevel="1">
      <c r="A70" s="36"/>
      <c r="B70" s="334" t="s">
        <v>485</v>
      </c>
      <c r="C70" s="1157"/>
      <c r="D70" s="1157"/>
      <c r="E70" s="75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</row>
    <row r="71" spans="1:16" s="2" customFormat="1" ht="12.75" outlineLevel="1">
      <c r="A71" s="326"/>
      <c r="B71" s="4" t="s">
        <v>163</v>
      </c>
      <c r="C71" s="515"/>
      <c r="D71" s="252">
        <f aca="true" t="shared" si="27" ref="D71:O71">C76</f>
        <v>0</v>
      </c>
      <c r="E71" s="61">
        <f t="shared" si="27"/>
        <v>0</v>
      </c>
      <c r="F71" s="61">
        <f t="shared" si="27"/>
        <v>0</v>
      </c>
      <c r="G71" s="61">
        <f t="shared" si="27"/>
        <v>0</v>
      </c>
      <c r="H71" s="61">
        <f t="shared" si="27"/>
        <v>0</v>
      </c>
      <c r="I71" s="61">
        <f t="shared" si="27"/>
        <v>250000</v>
      </c>
      <c r="J71" s="61">
        <f t="shared" si="27"/>
        <v>0</v>
      </c>
      <c r="K71" s="61">
        <f t="shared" si="27"/>
        <v>0</v>
      </c>
      <c r="L71" s="61">
        <f t="shared" si="27"/>
        <v>0</v>
      </c>
      <c r="M71" s="61">
        <f t="shared" si="27"/>
        <v>0</v>
      </c>
      <c r="N71" s="61">
        <f t="shared" si="27"/>
        <v>0</v>
      </c>
      <c r="O71" s="62">
        <f t="shared" si="27"/>
        <v>0</v>
      </c>
      <c r="P71" s="288">
        <f>C76</f>
        <v>0</v>
      </c>
    </row>
    <row r="72" spans="1:16" s="2" customFormat="1" ht="12.75" outlineLevel="1">
      <c r="A72" s="164" t="s">
        <v>353</v>
      </c>
      <c r="B72" s="4" t="str">
        <f>VLOOKUP(A72,Справочники!$B:$F,4,FALSE)</f>
        <v>Поступления краткосрочных кредитов</v>
      </c>
      <c r="C72" s="520"/>
      <c r="D72" s="287">
        <v>0</v>
      </c>
      <c r="E72" s="71">
        <v>0</v>
      </c>
      <c r="F72" s="71">
        <v>0</v>
      </c>
      <c r="G72" s="71">
        <v>0</v>
      </c>
      <c r="H72" s="71">
        <v>300000</v>
      </c>
      <c r="I72" s="71"/>
      <c r="J72" s="71"/>
      <c r="K72" s="71"/>
      <c r="L72" s="71"/>
      <c r="M72" s="71"/>
      <c r="N72" s="71"/>
      <c r="O72" s="72"/>
      <c r="P72" s="289">
        <f>SUM(D72:O72)</f>
        <v>300000</v>
      </c>
    </row>
    <row r="73" spans="1:16" s="2" customFormat="1" ht="12.75" outlineLevel="1">
      <c r="A73" s="164" t="s">
        <v>109</v>
      </c>
      <c r="B73" s="1039" t="str">
        <f>VLOOKUP(A73,Справочники!$B:$F,3,FALSE)</f>
        <v>Проценты по краткосрочным кредитам банков начисленные</v>
      </c>
      <c r="C73" s="520"/>
      <c r="D73" s="39">
        <f>C76*Параметры!D$23/4</f>
        <v>0</v>
      </c>
      <c r="E73" s="39">
        <f>D76*Параметры!E$23/4</f>
        <v>0</v>
      </c>
      <c r="F73" s="39">
        <f>E76*Параметры!F$23/4</f>
        <v>0</v>
      </c>
      <c r="G73" s="39">
        <f>F76*Параметры!G$23/4</f>
        <v>0</v>
      </c>
      <c r="H73" s="1081">
        <f>H72*Параметры!H$23</f>
        <v>23313</v>
      </c>
      <c r="I73" s="39">
        <f>H76*Параметры!I$23</f>
        <v>10312.5</v>
      </c>
      <c r="J73" s="39">
        <f>I76*Параметры!J$23</f>
        <v>0</v>
      </c>
      <c r="K73" s="39">
        <f>J76*Параметры!K$23</f>
        <v>0</v>
      </c>
      <c r="L73" s="39">
        <f>K76*Параметры!L$23</f>
        <v>0</v>
      </c>
      <c r="M73" s="39">
        <f>L76*Параметры!M$23</f>
        <v>0</v>
      </c>
      <c r="N73" s="39">
        <f>M76*Параметры!N$23</f>
        <v>0</v>
      </c>
      <c r="O73" s="40">
        <f>N76*Параметры!O$23</f>
        <v>0</v>
      </c>
      <c r="P73" s="82">
        <f>SUM(D73:O73)</f>
        <v>33625.5</v>
      </c>
    </row>
    <row r="74" spans="1:16" s="2" customFormat="1" ht="12.75" outlineLevel="1">
      <c r="A74" s="164" t="s">
        <v>109</v>
      </c>
      <c r="B74" s="1039" t="str">
        <f>VLOOKUP(A74,Справочники!$B:$F,4,FALSE)</f>
        <v>Проценты по краткосрочным кредитам банков выплаченные</v>
      </c>
      <c r="C74" s="520"/>
      <c r="D74" s="41">
        <f aca="true" t="shared" si="28" ref="D74:O74">D73</f>
        <v>0</v>
      </c>
      <c r="E74" s="39">
        <f t="shared" si="28"/>
        <v>0</v>
      </c>
      <c r="F74" s="39">
        <f t="shared" si="28"/>
        <v>0</v>
      </c>
      <c r="G74" s="39">
        <f t="shared" si="28"/>
        <v>0</v>
      </c>
      <c r="H74" s="39">
        <f t="shared" si="28"/>
        <v>23313</v>
      </c>
      <c r="I74" s="39">
        <f t="shared" si="28"/>
        <v>10312.5</v>
      </c>
      <c r="J74" s="39">
        <f t="shared" si="28"/>
        <v>0</v>
      </c>
      <c r="K74" s="39">
        <f t="shared" si="28"/>
        <v>0</v>
      </c>
      <c r="L74" s="39">
        <f t="shared" si="28"/>
        <v>0</v>
      </c>
      <c r="M74" s="39">
        <f t="shared" si="28"/>
        <v>0</v>
      </c>
      <c r="N74" s="39">
        <f t="shared" si="28"/>
        <v>0</v>
      </c>
      <c r="O74" s="40">
        <f t="shared" si="28"/>
        <v>0</v>
      </c>
      <c r="P74" s="82">
        <f>SUM(D74:O74)</f>
        <v>33625.5</v>
      </c>
    </row>
    <row r="75" spans="1:16" s="2" customFormat="1" ht="12.75" outlineLevel="1">
      <c r="A75" s="164" t="s">
        <v>362</v>
      </c>
      <c r="B75" s="4" t="str">
        <f>VLOOKUP(A75,Справочники!$B:$F,4,FALSE)</f>
        <v>Выплаты краткосрочных кредитов</v>
      </c>
      <c r="C75" s="520"/>
      <c r="D75" s="287"/>
      <c r="E75" s="71"/>
      <c r="F75" s="71"/>
      <c r="G75" s="71"/>
      <c r="H75" s="71">
        <v>50000</v>
      </c>
      <c r="I75" s="71">
        <v>250000</v>
      </c>
      <c r="J75" s="71"/>
      <c r="K75" s="71"/>
      <c r="L75" s="71"/>
      <c r="M75" s="71"/>
      <c r="N75" s="71"/>
      <c r="O75" s="72"/>
      <c r="P75" s="289">
        <f>SUM(D75:O75)</f>
        <v>300000</v>
      </c>
    </row>
    <row r="76" spans="1:16" s="2" customFormat="1" ht="12.75" outlineLevel="1">
      <c r="A76" s="327"/>
      <c r="B76" s="4" t="s">
        <v>164</v>
      </c>
      <c r="C76" s="756">
        <v>0</v>
      </c>
      <c r="D76" s="244">
        <f aca="true" t="shared" si="29" ref="D76:P76">D71+D72-D75</f>
        <v>0</v>
      </c>
      <c r="E76" s="64">
        <f t="shared" si="29"/>
        <v>0</v>
      </c>
      <c r="F76" s="64">
        <f t="shared" si="29"/>
        <v>0</v>
      </c>
      <c r="G76" s="64">
        <f t="shared" si="29"/>
        <v>0</v>
      </c>
      <c r="H76" s="64">
        <f t="shared" si="29"/>
        <v>250000</v>
      </c>
      <c r="I76" s="64">
        <f t="shared" si="29"/>
        <v>0</v>
      </c>
      <c r="J76" s="64">
        <f t="shared" si="29"/>
        <v>0</v>
      </c>
      <c r="K76" s="64">
        <f t="shared" si="29"/>
        <v>0</v>
      </c>
      <c r="L76" s="64">
        <f t="shared" si="29"/>
        <v>0</v>
      </c>
      <c r="M76" s="64">
        <f t="shared" si="29"/>
        <v>0</v>
      </c>
      <c r="N76" s="64">
        <f t="shared" si="29"/>
        <v>0</v>
      </c>
      <c r="O76" s="65">
        <f t="shared" si="29"/>
        <v>0</v>
      </c>
      <c r="P76" s="239">
        <f t="shared" si="29"/>
        <v>0</v>
      </c>
    </row>
    <row r="77" spans="1:16" s="2" customFormat="1" ht="12.75" outlineLevel="1">
      <c r="A77" s="36"/>
      <c r="B77" s="36"/>
      <c r="C77" s="527"/>
      <c r="D77" s="527"/>
      <c r="E77" s="527"/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</row>
    <row r="78" spans="1:16" s="2" customFormat="1" ht="12.75" outlineLevel="1">
      <c r="A78" s="36"/>
      <c r="B78" s="334" t="s">
        <v>486</v>
      </c>
      <c r="C78" s="1158"/>
      <c r="D78" s="1158"/>
      <c r="E78" s="757"/>
      <c r="F78" s="527"/>
      <c r="G78" s="527"/>
      <c r="H78" s="527"/>
      <c r="I78" s="527"/>
      <c r="J78" s="527"/>
      <c r="K78" s="527"/>
      <c r="L78" s="527"/>
      <c r="M78" s="527"/>
      <c r="N78" s="527"/>
      <c r="O78" s="527"/>
      <c r="P78" s="527"/>
    </row>
    <row r="79" spans="1:16" s="2" customFormat="1" ht="12.75" outlineLevel="1">
      <c r="A79" s="326"/>
      <c r="B79" s="4" t="s">
        <v>163</v>
      </c>
      <c r="C79" s="515"/>
      <c r="D79" s="252">
        <f aca="true" t="shared" si="30" ref="D79:O79">C84</f>
        <v>0</v>
      </c>
      <c r="E79" s="61">
        <f t="shared" si="30"/>
        <v>0</v>
      </c>
      <c r="F79" s="61">
        <f t="shared" si="30"/>
        <v>0</v>
      </c>
      <c r="G79" s="61">
        <f t="shared" si="30"/>
        <v>0</v>
      </c>
      <c r="H79" s="61">
        <f t="shared" si="30"/>
        <v>0</v>
      </c>
      <c r="I79" s="61">
        <f t="shared" si="30"/>
        <v>0</v>
      </c>
      <c r="J79" s="61">
        <f t="shared" si="30"/>
        <v>0</v>
      </c>
      <c r="K79" s="61">
        <f t="shared" si="30"/>
        <v>0</v>
      </c>
      <c r="L79" s="61">
        <f t="shared" si="30"/>
        <v>0</v>
      </c>
      <c r="M79" s="61">
        <f t="shared" si="30"/>
        <v>0</v>
      </c>
      <c r="N79" s="61">
        <f t="shared" si="30"/>
        <v>0</v>
      </c>
      <c r="O79" s="62">
        <f t="shared" si="30"/>
        <v>0</v>
      </c>
      <c r="P79" s="288">
        <f>C84</f>
        <v>0</v>
      </c>
    </row>
    <row r="80" spans="1:16" s="2" customFormat="1" ht="12.75" outlineLevel="1">
      <c r="A80" s="164" t="s">
        <v>353</v>
      </c>
      <c r="B80" s="4" t="str">
        <f>VLOOKUP(A80,Справочники!$B:$F,4,FALSE)</f>
        <v>Поступления краткосрочных кредитов</v>
      </c>
      <c r="C80" s="520"/>
      <c r="D80" s="287"/>
      <c r="E80" s="71">
        <v>0</v>
      </c>
      <c r="F80" s="71"/>
      <c r="G80" s="71"/>
      <c r="H80" s="71">
        <v>0</v>
      </c>
      <c r="I80" s="71"/>
      <c r="J80" s="71"/>
      <c r="K80" s="71"/>
      <c r="L80" s="71"/>
      <c r="M80" s="71"/>
      <c r="N80" s="71"/>
      <c r="O80" s="72"/>
      <c r="P80" s="289">
        <f>SUM(D80:O80)</f>
        <v>0</v>
      </c>
    </row>
    <row r="81" spans="1:16" s="2" customFormat="1" ht="12.75" outlineLevel="1">
      <c r="A81" s="164" t="s">
        <v>109</v>
      </c>
      <c r="B81" s="5" t="str">
        <f>VLOOKUP(A81,Справочники!$B:$F,3,FALSE)</f>
        <v>Проценты по краткосрочным кредитам банков начисленные</v>
      </c>
      <c r="C81" s="520"/>
      <c r="D81" s="39">
        <f>C84*Параметры!D$24/4</f>
        <v>0</v>
      </c>
      <c r="E81" s="39">
        <f>D84*Параметры!E$24/4</f>
        <v>0</v>
      </c>
      <c r="F81" s="39">
        <f>E84*Параметры!F$24/4</f>
        <v>0</v>
      </c>
      <c r="G81" s="39">
        <f>F84*Параметры!G$24/4</f>
        <v>0</v>
      </c>
      <c r="H81" s="39">
        <f>G84*Параметры!H$24</f>
        <v>0</v>
      </c>
      <c r="I81" s="39">
        <f>H84*Параметры!I$24</f>
        <v>0</v>
      </c>
      <c r="J81" s="39">
        <f>I84*Параметры!J$24</f>
        <v>0</v>
      </c>
      <c r="K81" s="39">
        <f>J84*Параметры!K$24</f>
        <v>0</v>
      </c>
      <c r="L81" s="39">
        <f>K84*Параметры!L$24</f>
        <v>0</v>
      </c>
      <c r="M81" s="39">
        <f>L84*Параметры!M$24</f>
        <v>0</v>
      </c>
      <c r="N81" s="39">
        <f>M84*Параметры!N$24</f>
        <v>0</v>
      </c>
      <c r="O81" s="40">
        <f>N84*Параметры!O$24</f>
        <v>0</v>
      </c>
      <c r="P81" s="82">
        <f>SUM(D81:O81)</f>
        <v>0</v>
      </c>
    </row>
    <row r="82" spans="1:16" s="2" customFormat="1" ht="12.75" outlineLevel="1">
      <c r="A82" s="164" t="s">
        <v>109</v>
      </c>
      <c r="B82" s="5" t="str">
        <f>VLOOKUP(A82,Справочники!$B:$F,4,FALSE)</f>
        <v>Проценты по краткосрочным кредитам банков выплаченные</v>
      </c>
      <c r="C82" s="520"/>
      <c r="D82" s="41">
        <f aca="true" t="shared" si="31" ref="D82:O82">D81</f>
        <v>0</v>
      </c>
      <c r="E82" s="39">
        <f t="shared" si="31"/>
        <v>0</v>
      </c>
      <c r="F82" s="39">
        <f t="shared" si="31"/>
        <v>0</v>
      </c>
      <c r="G82" s="39">
        <f t="shared" si="31"/>
        <v>0</v>
      </c>
      <c r="H82" s="39">
        <f t="shared" si="31"/>
        <v>0</v>
      </c>
      <c r="I82" s="39">
        <f t="shared" si="31"/>
        <v>0</v>
      </c>
      <c r="J82" s="39">
        <f t="shared" si="31"/>
        <v>0</v>
      </c>
      <c r="K82" s="39">
        <f t="shared" si="31"/>
        <v>0</v>
      </c>
      <c r="L82" s="39">
        <f t="shared" si="31"/>
        <v>0</v>
      </c>
      <c r="M82" s="39">
        <f t="shared" si="31"/>
        <v>0</v>
      </c>
      <c r="N82" s="39">
        <f t="shared" si="31"/>
        <v>0</v>
      </c>
      <c r="O82" s="40">
        <f t="shared" si="31"/>
        <v>0</v>
      </c>
      <c r="P82" s="82">
        <f>SUM(D82:O82)</f>
        <v>0</v>
      </c>
    </row>
    <row r="83" spans="1:16" s="2" customFormat="1" ht="12.75" outlineLevel="1">
      <c r="A83" s="164" t="s">
        <v>362</v>
      </c>
      <c r="B83" s="4" t="str">
        <f>VLOOKUP(A83,Справочники!$B:$F,4,FALSE)</f>
        <v>Выплаты краткосрочных кредитов</v>
      </c>
      <c r="C83" s="520"/>
      <c r="D83" s="287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2"/>
      <c r="P83" s="289">
        <f>SUM(D83:O83)</f>
        <v>0</v>
      </c>
    </row>
    <row r="84" spans="1:16" s="2" customFormat="1" ht="12.75" outlineLevel="1">
      <c r="A84" s="327"/>
      <c r="B84" s="4" t="s">
        <v>164</v>
      </c>
      <c r="C84" s="756">
        <v>0</v>
      </c>
      <c r="D84" s="244">
        <f aca="true" t="shared" si="32" ref="D84:P84">D79+D80-D83</f>
        <v>0</v>
      </c>
      <c r="E84" s="64">
        <f t="shared" si="32"/>
        <v>0</v>
      </c>
      <c r="F84" s="64">
        <f t="shared" si="32"/>
        <v>0</v>
      </c>
      <c r="G84" s="64">
        <f t="shared" si="32"/>
        <v>0</v>
      </c>
      <c r="H84" s="64">
        <f t="shared" si="32"/>
        <v>0</v>
      </c>
      <c r="I84" s="64">
        <f t="shared" si="32"/>
        <v>0</v>
      </c>
      <c r="J84" s="64">
        <f t="shared" si="32"/>
        <v>0</v>
      </c>
      <c r="K84" s="64">
        <f t="shared" si="32"/>
        <v>0</v>
      </c>
      <c r="L84" s="64">
        <f t="shared" si="32"/>
        <v>0</v>
      </c>
      <c r="M84" s="64">
        <f t="shared" si="32"/>
        <v>0</v>
      </c>
      <c r="N84" s="64">
        <f t="shared" si="32"/>
        <v>0</v>
      </c>
      <c r="O84" s="65">
        <f t="shared" si="32"/>
        <v>0</v>
      </c>
      <c r="P84" s="239">
        <f t="shared" si="32"/>
        <v>0</v>
      </c>
    </row>
    <row r="85" spans="1:16" s="2" customFormat="1" ht="12.75" outlineLevel="1">
      <c r="A85" s="36"/>
      <c r="B85" s="36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</row>
    <row r="86" spans="1:16" s="2" customFormat="1" ht="12.75">
      <c r="A86" s="36"/>
      <c r="B86" s="36"/>
      <c r="C86" s="527"/>
      <c r="D86" s="527"/>
      <c r="E86" s="527"/>
      <c r="F86" s="527"/>
      <c r="G86" s="527"/>
      <c r="H86" s="527"/>
      <c r="I86" s="527"/>
      <c r="J86" s="527"/>
      <c r="K86" s="527"/>
      <c r="L86" s="527"/>
      <c r="M86" s="527"/>
      <c r="N86" s="527"/>
      <c r="O86" s="527"/>
      <c r="P86" s="527"/>
    </row>
    <row r="87" spans="1:5" s="318" customFormat="1" ht="12.75">
      <c r="A87" s="485" t="s">
        <v>6</v>
      </c>
      <c r="B87" s="70" t="s">
        <v>166</v>
      </c>
      <c r="C87" s="562"/>
      <c r="D87" s="562"/>
      <c r="E87" s="569"/>
    </row>
    <row r="88" spans="1:16" s="2" customFormat="1" ht="12.75">
      <c r="A88" s="326"/>
      <c r="B88" s="4" t="s">
        <v>163</v>
      </c>
      <c r="C88" s="515"/>
      <c r="D88" s="516">
        <f aca="true" t="shared" si="33" ref="D88:O88">C93</f>
        <v>0</v>
      </c>
      <c r="E88" s="517">
        <f t="shared" si="33"/>
        <v>0</v>
      </c>
      <c r="F88" s="517">
        <f t="shared" si="33"/>
        <v>0</v>
      </c>
      <c r="G88" s="517">
        <f t="shared" si="33"/>
        <v>0</v>
      </c>
      <c r="H88" s="517">
        <f t="shared" si="33"/>
        <v>0</v>
      </c>
      <c r="I88" s="517">
        <f t="shared" si="33"/>
        <v>0</v>
      </c>
      <c r="J88" s="517">
        <f t="shared" si="33"/>
        <v>0</v>
      </c>
      <c r="K88" s="517">
        <f t="shared" si="33"/>
        <v>0</v>
      </c>
      <c r="L88" s="517">
        <f t="shared" si="33"/>
        <v>0</v>
      </c>
      <c r="M88" s="517">
        <f t="shared" si="33"/>
        <v>0</v>
      </c>
      <c r="N88" s="517">
        <f t="shared" si="33"/>
        <v>0</v>
      </c>
      <c r="O88" s="518">
        <f t="shared" si="33"/>
        <v>0</v>
      </c>
      <c r="P88" s="519">
        <f>C93</f>
        <v>0</v>
      </c>
    </row>
    <row r="89" spans="1:16" s="2" customFormat="1" ht="12.75">
      <c r="A89" s="164" t="s">
        <v>355</v>
      </c>
      <c r="B89" s="4" t="str">
        <f>VLOOKUP(A89,Справочники!$B:$F,4,FALSE)</f>
        <v>Поступления займов</v>
      </c>
      <c r="C89" s="520"/>
      <c r="D89" s="328">
        <f>SUM(D98,D106,D114)</f>
        <v>0</v>
      </c>
      <c r="E89" s="329">
        <f aca="true" t="shared" si="34" ref="E89:O89">SUM(E98,E106,E114)</f>
        <v>0</v>
      </c>
      <c r="F89" s="329">
        <f t="shared" si="34"/>
        <v>0</v>
      </c>
      <c r="G89" s="329">
        <f t="shared" si="34"/>
        <v>0</v>
      </c>
      <c r="H89" s="329">
        <f t="shared" si="34"/>
        <v>0</v>
      </c>
      <c r="I89" s="329">
        <f t="shared" si="34"/>
        <v>0</v>
      </c>
      <c r="J89" s="329">
        <f t="shared" si="34"/>
        <v>0</v>
      </c>
      <c r="K89" s="329">
        <f t="shared" si="34"/>
        <v>0</v>
      </c>
      <c r="L89" s="329">
        <f t="shared" si="34"/>
        <v>0</v>
      </c>
      <c r="M89" s="329">
        <f t="shared" si="34"/>
        <v>0</v>
      </c>
      <c r="N89" s="329">
        <f t="shared" si="34"/>
        <v>0</v>
      </c>
      <c r="O89" s="521">
        <f t="shared" si="34"/>
        <v>0</v>
      </c>
      <c r="P89" s="82">
        <f>SUM(D89:O89)</f>
        <v>0</v>
      </c>
    </row>
    <row r="90" spans="1:16" s="2" customFormat="1" ht="12.75">
      <c r="A90" s="164" t="s">
        <v>525</v>
      </c>
      <c r="B90" s="5" t="str">
        <f>VLOOKUP(A90,Справочники!$B:$F,3,FALSE)</f>
        <v>Проценты по займам начисленные</v>
      </c>
      <c r="C90" s="520"/>
      <c r="D90" s="328">
        <f>SUM(D99,D107,D115)</f>
        <v>0</v>
      </c>
      <c r="E90" s="329">
        <f aca="true" t="shared" si="35" ref="E90:O90">SUM(E99,E107,E115)</f>
        <v>0</v>
      </c>
      <c r="F90" s="329">
        <f t="shared" si="35"/>
        <v>0</v>
      </c>
      <c r="G90" s="329">
        <f t="shared" si="35"/>
        <v>0</v>
      </c>
      <c r="H90" s="329">
        <f t="shared" si="35"/>
        <v>0</v>
      </c>
      <c r="I90" s="329">
        <f t="shared" si="35"/>
        <v>0</v>
      </c>
      <c r="J90" s="329">
        <f t="shared" si="35"/>
        <v>0</v>
      </c>
      <c r="K90" s="329">
        <f t="shared" si="35"/>
        <v>0</v>
      </c>
      <c r="L90" s="329">
        <f t="shared" si="35"/>
        <v>0</v>
      </c>
      <c r="M90" s="329">
        <f t="shared" si="35"/>
        <v>0</v>
      </c>
      <c r="N90" s="329">
        <f t="shared" si="35"/>
        <v>0</v>
      </c>
      <c r="O90" s="521">
        <f t="shared" si="35"/>
        <v>0</v>
      </c>
      <c r="P90" s="82">
        <f>SUM(D90:O90)</f>
        <v>0</v>
      </c>
    </row>
    <row r="91" spans="1:16" s="2" customFormat="1" ht="12.75">
      <c r="A91" s="164" t="s">
        <v>525</v>
      </c>
      <c r="B91" s="5" t="str">
        <f>VLOOKUP(A91,Справочники!$B:$F,4,FALSE)</f>
        <v>Проценты по займам выплаченные</v>
      </c>
      <c r="C91" s="520"/>
      <c r="D91" s="328">
        <f>SUM(D100,D108,D116)</f>
        <v>0</v>
      </c>
      <c r="E91" s="329">
        <f aca="true" t="shared" si="36" ref="E91:O91">SUM(E100,E108,E116)</f>
        <v>0</v>
      </c>
      <c r="F91" s="329">
        <f t="shared" si="36"/>
        <v>0</v>
      </c>
      <c r="G91" s="329">
        <f t="shared" si="36"/>
        <v>0</v>
      </c>
      <c r="H91" s="329">
        <f t="shared" si="36"/>
        <v>0</v>
      </c>
      <c r="I91" s="329">
        <f t="shared" si="36"/>
        <v>0</v>
      </c>
      <c r="J91" s="329">
        <f t="shared" si="36"/>
        <v>0</v>
      </c>
      <c r="K91" s="329">
        <f t="shared" si="36"/>
        <v>0</v>
      </c>
      <c r="L91" s="329">
        <f t="shared" si="36"/>
        <v>0</v>
      </c>
      <c r="M91" s="329">
        <f t="shared" si="36"/>
        <v>0</v>
      </c>
      <c r="N91" s="329">
        <f t="shared" si="36"/>
        <v>0</v>
      </c>
      <c r="O91" s="521">
        <f t="shared" si="36"/>
        <v>0</v>
      </c>
      <c r="P91" s="82">
        <f>SUM(D91:O91)</f>
        <v>0</v>
      </c>
    </row>
    <row r="92" spans="1:16" s="2" customFormat="1" ht="12.75">
      <c r="A92" s="164" t="s">
        <v>364</v>
      </c>
      <c r="B92" s="4" t="str">
        <f>VLOOKUP(A92,Справочники!$B:$F,4,FALSE)</f>
        <v>Выплаты займов</v>
      </c>
      <c r="C92" s="520"/>
      <c r="D92" s="328">
        <f>SUM(D101,D109,D117)</f>
        <v>0</v>
      </c>
      <c r="E92" s="329">
        <f aca="true" t="shared" si="37" ref="E92:O92">SUM(E101,E109,E117)</f>
        <v>0</v>
      </c>
      <c r="F92" s="329">
        <f t="shared" si="37"/>
        <v>0</v>
      </c>
      <c r="G92" s="329">
        <f t="shared" si="37"/>
        <v>0</v>
      </c>
      <c r="H92" s="329">
        <f t="shared" si="37"/>
        <v>0</v>
      </c>
      <c r="I92" s="329">
        <f t="shared" si="37"/>
        <v>0</v>
      </c>
      <c r="J92" s="329">
        <f t="shared" si="37"/>
        <v>0</v>
      </c>
      <c r="K92" s="329">
        <f t="shared" si="37"/>
        <v>0</v>
      </c>
      <c r="L92" s="329">
        <f t="shared" si="37"/>
        <v>0</v>
      </c>
      <c r="M92" s="329">
        <f t="shared" si="37"/>
        <v>0</v>
      </c>
      <c r="N92" s="329">
        <f t="shared" si="37"/>
        <v>0</v>
      </c>
      <c r="O92" s="521">
        <f t="shared" si="37"/>
        <v>0</v>
      </c>
      <c r="P92" s="82">
        <f>SUM(D92:O92)</f>
        <v>0</v>
      </c>
    </row>
    <row r="93" spans="1:16" s="2" customFormat="1" ht="12.75">
      <c r="A93" s="327"/>
      <c r="B93" s="4" t="s">
        <v>164</v>
      </c>
      <c r="C93" s="522">
        <f>C102+C110+C118</f>
        <v>0</v>
      </c>
      <c r="D93" s="523">
        <f aca="true" t="shared" si="38" ref="D93:P93">D88+D89-D92</f>
        <v>0</v>
      </c>
      <c r="E93" s="524">
        <f t="shared" si="38"/>
        <v>0</v>
      </c>
      <c r="F93" s="524">
        <f t="shared" si="38"/>
        <v>0</v>
      </c>
      <c r="G93" s="524">
        <f t="shared" si="38"/>
        <v>0</v>
      </c>
      <c r="H93" s="524">
        <f t="shared" si="38"/>
        <v>0</v>
      </c>
      <c r="I93" s="524">
        <f t="shared" si="38"/>
        <v>0</v>
      </c>
      <c r="J93" s="524">
        <f t="shared" si="38"/>
        <v>0</v>
      </c>
      <c r="K93" s="524">
        <f t="shared" si="38"/>
        <v>0</v>
      </c>
      <c r="L93" s="524">
        <f t="shared" si="38"/>
        <v>0</v>
      </c>
      <c r="M93" s="524">
        <f t="shared" si="38"/>
        <v>0</v>
      </c>
      <c r="N93" s="524">
        <f t="shared" si="38"/>
        <v>0</v>
      </c>
      <c r="O93" s="525">
        <f t="shared" si="38"/>
        <v>0</v>
      </c>
      <c r="P93" s="526">
        <f t="shared" si="38"/>
        <v>0</v>
      </c>
    </row>
    <row r="94" ht="12.75">
      <c r="B94" s="73"/>
    </row>
    <row r="95" ht="12.75">
      <c r="B95" s="570" t="s">
        <v>350</v>
      </c>
    </row>
    <row r="96" spans="1:5" s="318" customFormat="1" ht="12.75" outlineLevel="1">
      <c r="A96" s="485"/>
      <c r="B96" s="1072" t="s">
        <v>790</v>
      </c>
      <c r="C96" s="1159"/>
      <c r="D96" s="1159"/>
      <c r="E96" s="758"/>
    </row>
    <row r="97" spans="1:16" s="2" customFormat="1" ht="12.75" outlineLevel="1">
      <c r="A97" s="326"/>
      <c r="B97" s="4" t="s">
        <v>163</v>
      </c>
      <c r="C97" s="515"/>
      <c r="D97" s="252">
        <f aca="true" t="shared" si="39" ref="D97:O97">C102</f>
        <v>0</v>
      </c>
      <c r="E97" s="61">
        <f t="shared" si="39"/>
        <v>0</v>
      </c>
      <c r="F97" s="61">
        <f t="shared" si="39"/>
        <v>0</v>
      </c>
      <c r="G97" s="61">
        <f t="shared" si="39"/>
        <v>0</v>
      </c>
      <c r="H97" s="61">
        <f t="shared" si="39"/>
        <v>0</v>
      </c>
      <c r="I97" s="61">
        <f t="shared" si="39"/>
        <v>0</v>
      </c>
      <c r="J97" s="61">
        <f t="shared" si="39"/>
        <v>0</v>
      </c>
      <c r="K97" s="61">
        <f t="shared" si="39"/>
        <v>0</v>
      </c>
      <c r="L97" s="61">
        <f t="shared" si="39"/>
        <v>0</v>
      </c>
      <c r="M97" s="61">
        <f t="shared" si="39"/>
        <v>0</v>
      </c>
      <c r="N97" s="61">
        <f t="shared" si="39"/>
        <v>0</v>
      </c>
      <c r="O97" s="62">
        <f t="shared" si="39"/>
        <v>0</v>
      </c>
      <c r="P97" s="288">
        <f>C102</f>
        <v>0</v>
      </c>
    </row>
    <row r="98" spans="1:16" s="2" customFormat="1" ht="12.75" outlineLevel="1">
      <c r="A98" s="164" t="s">
        <v>355</v>
      </c>
      <c r="B98" s="4" t="str">
        <f>VLOOKUP(A98,Справочники!$B:$F,4,FALSE)</f>
        <v>Поступления займов</v>
      </c>
      <c r="C98" s="520"/>
      <c r="D98" s="287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2"/>
      <c r="P98" s="82">
        <f>SUM(D98:O98)</f>
        <v>0</v>
      </c>
    </row>
    <row r="99" spans="1:16" s="2" customFormat="1" ht="12.75" outlineLevel="1">
      <c r="A99" s="164" t="s">
        <v>525</v>
      </c>
      <c r="B99" s="5" t="str">
        <f>VLOOKUP(A99,Справочники!$B:$F,3,FALSE)</f>
        <v>Проценты по займам начисленные</v>
      </c>
      <c r="C99" s="520"/>
      <c r="D99" s="39">
        <f>C102*Параметры!D$25/4</f>
        <v>0</v>
      </c>
      <c r="E99" s="39">
        <f>D102*Параметры!E$25/4</f>
        <v>0</v>
      </c>
      <c r="F99" s="39">
        <f>E102*Параметры!F$25/4</f>
        <v>0</v>
      </c>
      <c r="G99" s="39">
        <f>F102*Параметры!G$25/4</f>
        <v>0</v>
      </c>
      <c r="H99" s="39">
        <f>G102*Параметры!H$25</f>
        <v>0</v>
      </c>
      <c r="I99" s="39">
        <f>H102*Параметры!I$25</f>
        <v>0</v>
      </c>
      <c r="J99" s="39">
        <f>I102*Параметры!J$25</f>
        <v>0</v>
      </c>
      <c r="K99" s="39">
        <f>J102*Параметры!K$25</f>
        <v>0</v>
      </c>
      <c r="L99" s="39">
        <f>K102*Параметры!L$25</f>
        <v>0</v>
      </c>
      <c r="M99" s="39">
        <f>L102*Параметры!M$25</f>
        <v>0</v>
      </c>
      <c r="N99" s="39">
        <f>M102*Параметры!N$25</f>
        <v>0</v>
      </c>
      <c r="O99" s="40">
        <f>N102*Параметры!O$25</f>
        <v>0</v>
      </c>
      <c r="P99" s="82">
        <f>SUM(D99:O99)</f>
        <v>0</v>
      </c>
    </row>
    <row r="100" spans="1:16" s="2" customFormat="1" ht="12.75" outlineLevel="1">
      <c r="A100" s="164" t="s">
        <v>525</v>
      </c>
      <c r="B100" s="5" t="str">
        <f>VLOOKUP(A100,Справочники!$B:$F,4,FALSE)</f>
        <v>Проценты по займам выплаченные</v>
      </c>
      <c r="C100" s="520"/>
      <c r="D100" s="41">
        <f aca="true" t="shared" si="40" ref="D100:O100">D99</f>
        <v>0</v>
      </c>
      <c r="E100" s="39">
        <f t="shared" si="40"/>
        <v>0</v>
      </c>
      <c r="F100" s="39">
        <f t="shared" si="40"/>
        <v>0</v>
      </c>
      <c r="G100" s="39">
        <f t="shared" si="40"/>
        <v>0</v>
      </c>
      <c r="H100" s="39">
        <f t="shared" si="40"/>
        <v>0</v>
      </c>
      <c r="I100" s="39">
        <f t="shared" si="40"/>
        <v>0</v>
      </c>
      <c r="J100" s="39">
        <f t="shared" si="40"/>
        <v>0</v>
      </c>
      <c r="K100" s="39">
        <f t="shared" si="40"/>
        <v>0</v>
      </c>
      <c r="L100" s="39">
        <f t="shared" si="40"/>
        <v>0</v>
      </c>
      <c r="M100" s="39">
        <f t="shared" si="40"/>
        <v>0</v>
      </c>
      <c r="N100" s="39">
        <f t="shared" si="40"/>
        <v>0</v>
      </c>
      <c r="O100" s="40">
        <f t="shared" si="40"/>
        <v>0</v>
      </c>
      <c r="P100" s="82">
        <f>SUM(D100:O100)</f>
        <v>0</v>
      </c>
    </row>
    <row r="101" spans="1:16" s="2" customFormat="1" ht="12.75" outlineLevel="1">
      <c r="A101" s="164" t="s">
        <v>364</v>
      </c>
      <c r="B101" s="4" t="str">
        <f>VLOOKUP(A101,Справочники!$B:$F,4,FALSE)</f>
        <v>Выплаты займов</v>
      </c>
      <c r="C101" s="520"/>
      <c r="D101" s="287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2"/>
      <c r="P101" s="82">
        <f>SUM(D101:O101)</f>
        <v>0</v>
      </c>
    </row>
    <row r="102" spans="1:16" s="2" customFormat="1" ht="12.75" outlineLevel="1">
      <c r="A102" s="327"/>
      <c r="B102" s="4" t="s">
        <v>164</v>
      </c>
      <c r="C102" s="756"/>
      <c r="D102" s="244">
        <f aca="true" t="shared" si="41" ref="D102:P102">D97+D98-D101</f>
        <v>0</v>
      </c>
      <c r="E102" s="64">
        <f t="shared" si="41"/>
        <v>0</v>
      </c>
      <c r="F102" s="64">
        <f t="shared" si="41"/>
        <v>0</v>
      </c>
      <c r="G102" s="64">
        <f t="shared" si="41"/>
        <v>0</v>
      </c>
      <c r="H102" s="64">
        <f t="shared" si="41"/>
        <v>0</v>
      </c>
      <c r="I102" s="64">
        <f t="shared" si="41"/>
        <v>0</v>
      </c>
      <c r="J102" s="64">
        <f t="shared" si="41"/>
        <v>0</v>
      </c>
      <c r="K102" s="64">
        <f t="shared" si="41"/>
        <v>0</v>
      </c>
      <c r="L102" s="64">
        <f t="shared" si="41"/>
        <v>0</v>
      </c>
      <c r="M102" s="64">
        <f t="shared" si="41"/>
        <v>0</v>
      </c>
      <c r="N102" s="64">
        <f t="shared" si="41"/>
        <v>0</v>
      </c>
      <c r="O102" s="65">
        <f t="shared" si="41"/>
        <v>0</v>
      </c>
      <c r="P102" s="239">
        <f t="shared" si="41"/>
        <v>0</v>
      </c>
    </row>
    <row r="103" ht="12.75" outlineLevel="1">
      <c r="B103" s="73"/>
    </row>
    <row r="104" spans="1:5" s="318" customFormat="1" ht="12.75" outlineLevel="1">
      <c r="A104" s="485"/>
      <c r="B104" s="1072" t="s">
        <v>784</v>
      </c>
      <c r="C104" s="1159"/>
      <c r="D104" s="1159"/>
      <c r="E104" s="758"/>
    </row>
    <row r="105" spans="1:16" s="2" customFormat="1" ht="12.75" outlineLevel="1">
      <c r="A105" s="326"/>
      <c r="B105" s="4" t="s">
        <v>163</v>
      </c>
      <c r="C105" s="515"/>
      <c r="D105" s="252">
        <f aca="true" t="shared" si="42" ref="D105:O105">C110</f>
        <v>0</v>
      </c>
      <c r="E105" s="61">
        <f t="shared" si="42"/>
        <v>0</v>
      </c>
      <c r="F105" s="61">
        <f t="shared" si="42"/>
        <v>0</v>
      </c>
      <c r="G105" s="61">
        <f t="shared" si="42"/>
        <v>0</v>
      </c>
      <c r="H105" s="61">
        <f t="shared" si="42"/>
        <v>0</v>
      </c>
      <c r="I105" s="61">
        <f t="shared" si="42"/>
        <v>0</v>
      </c>
      <c r="J105" s="61">
        <f t="shared" si="42"/>
        <v>0</v>
      </c>
      <c r="K105" s="61">
        <f t="shared" si="42"/>
        <v>0</v>
      </c>
      <c r="L105" s="61">
        <f t="shared" si="42"/>
        <v>0</v>
      </c>
      <c r="M105" s="61">
        <f t="shared" si="42"/>
        <v>0</v>
      </c>
      <c r="N105" s="61">
        <f t="shared" si="42"/>
        <v>0</v>
      </c>
      <c r="O105" s="62">
        <f t="shared" si="42"/>
        <v>0</v>
      </c>
      <c r="P105" s="288">
        <f>C110</f>
        <v>0</v>
      </c>
    </row>
    <row r="106" spans="1:16" s="2" customFormat="1" ht="12.75" outlineLevel="1">
      <c r="A106" s="164" t="s">
        <v>355</v>
      </c>
      <c r="B106" s="4" t="str">
        <f>VLOOKUP(A106,Справочники!$B:$F,4,FALSE)</f>
        <v>Поступления займов</v>
      </c>
      <c r="C106" s="520"/>
      <c r="D106" s="287"/>
      <c r="E106" s="71"/>
      <c r="F106" s="71">
        <v>0</v>
      </c>
      <c r="G106" s="71"/>
      <c r="H106" s="71"/>
      <c r="I106" s="71"/>
      <c r="J106" s="71"/>
      <c r="K106" s="71"/>
      <c r="L106" s="71"/>
      <c r="M106" s="71"/>
      <c r="N106" s="71"/>
      <c r="O106" s="72"/>
      <c r="P106" s="82">
        <f>SUM(D106:O106)</f>
        <v>0</v>
      </c>
    </row>
    <row r="107" spans="1:16" s="2" customFormat="1" ht="12.75" outlineLevel="1">
      <c r="A107" s="164" t="s">
        <v>525</v>
      </c>
      <c r="B107" s="1039" t="str">
        <f>VLOOKUP(A107,Справочники!$B:$F,3,FALSE)</f>
        <v>Проценты по займам начисленные</v>
      </c>
      <c r="C107" s="520"/>
      <c r="D107" s="39">
        <f>C110*Параметры!D$23/4</f>
        <v>0</v>
      </c>
      <c r="E107" s="39">
        <f>D110*Параметры!E$23/4</f>
        <v>0</v>
      </c>
      <c r="F107" s="39">
        <f>E110*Параметры!F$23/4</f>
        <v>0</v>
      </c>
      <c r="G107" s="39">
        <f>F110*Параметры!G$23/4</f>
        <v>0</v>
      </c>
      <c r="H107" s="39">
        <f>G110*Параметры!H$23</f>
        <v>0</v>
      </c>
      <c r="I107" s="39">
        <f>H110*Параметры!I$23</f>
        <v>0</v>
      </c>
      <c r="J107" s="39">
        <f>I110*Параметры!J$23</f>
        <v>0</v>
      </c>
      <c r="K107" s="39">
        <f>J110*Параметры!K$23</f>
        <v>0</v>
      </c>
      <c r="L107" s="39">
        <f>K110*Параметры!L$23</f>
        <v>0</v>
      </c>
      <c r="M107" s="39">
        <f>L110*Параметры!M$23</f>
        <v>0</v>
      </c>
      <c r="N107" s="39">
        <f>M110*Параметры!N$23</f>
        <v>0</v>
      </c>
      <c r="O107" s="40">
        <f>N110*Параметры!O$23</f>
        <v>0</v>
      </c>
      <c r="P107" s="82">
        <f>SUM(D107:O107)</f>
        <v>0</v>
      </c>
    </row>
    <row r="108" spans="1:16" s="2" customFormat="1" ht="12.75" outlineLevel="1">
      <c r="A108" s="164" t="s">
        <v>525</v>
      </c>
      <c r="B108" s="1039" t="str">
        <f>VLOOKUP(A108,Справочники!$B:$F,4,FALSE)</f>
        <v>Проценты по займам выплаченные</v>
      </c>
      <c r="C108" s="520"/>
      <c r="D108" s="41">
        <f aca="true" t="shared" si="43" ref="D108:O108">D107</f>
        <v>0</v>
      </c>
      <c r="E108" s="39">
        <f t="shared" si="43"/>
        <v>0</v>
      </c>
      <c r="F108" s="39">
        <f t="shared" si="43"/>
        <v>0</v>
      </c>
      <c r="G108" s="39">
        <f t="shared" si="43"/>
        <v>0</v>
      </c>
      <c r="H108" s="39">
        <f t="shared" si="43"/>
        <v>0</v>
      </c>
      <c r="I108" s="39">
        <f t="shared" si="43"/>
        <v>0</v>
      </c>
      <c r="J108" s="39">
        <f t="shared" si="43"/>
        <v>0</v>
      </c>
      <c r="K108" s="39">
        <f t="shared" si="43"/>
        <v>0</v>
      </c>
      <c r="L108" s="39">
        <f t="shared" si="43"/>
        <v>0</v>
      </c>
      <c r="M108" s="39">
        <f t="shared" si="43"/>
        <v>0</v>
      </c>
      <c r="N108" s="39">
        <f t="shared" si="43"/>
        <v>0</v>
      </c>
      <c r="O108" s="40">
        <f t="shared" si="43"/>
        <v>0</v>
      </c>
      <c r="P108" s="82">
        <f>SUM(D108:O108)</f>
        <v>0</v>
      </c>
    </row>
    <row r="109" spans="1:16" s="2" customFormat="1" ht="12.75" outlineLevel="1">
      <c r="A109" s="164" t="s">
        <v>364</v>
      </c>
      <c r="B109" s="4" t="str">
        <f>VLOOKUP(A109,Справочники!$B:$F,4,FALSE)</f>
        <v>Выплаты займов</v>
      </c>
      <c r="C109" s="520"/>
      <c r="D109" s="287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2"/>
      <c r="P109" s="82">
        <f>SUM(D109:O109)</f>
        <v>0</v>
      </c>
    </row>
    <row r="110" spans="1:16" s="2" customFormat="1" ht="12.75" outlineLevel="1">
      <c r="A110" s="327"/>
      <c r="B110" s="4" t="s">
        <v>164</v>
      </c>
      <c r="C110" s="756"/>
      <c r="D110" s="244">
        <f aca="true" t="shared" si="44" ref="D110:P110">D105+D106-D109</f>
        <v>0</v>
      </c>
      <c r="E110" s="64">
        <f t="shared" si="44"/>
        <v>0</v>
      </c>
      <c r="F110" s="64">
        <f t="shared" si="44"/>
        <v>0</v>
      </c>
      <c r="G110" s="64">
        <f t="shared" si="44"/>
        <v>0</v>
      </c>
      <c r="H110" s="64">
        <f t="shared" si="44"/>
        <v>0</v>
      </c>
      <c r="I110" s="64">
        <f t="shared" si="44"/>
        <v>0</v>
      </c>
      <c r="J110" s="64">
        <f t="shared" si="44"/>
        <v>0</v>
      </c>
      <c r="K110" s="64">
        <f t="shared" si="44"/>
        <v>0</v>
      </c>
      <c r="L110" s="64">
        <f t="shared" si="44"/>
        <v>0</v>
      </c>
      <c r="M110" s="64">
        <f t="shared" si="44"/>
        <v>0</v>
      </c>
      <c r="N110" s="64">
        <f t="shared" si="44"/>
        <v>0</v>
      </c>
      <c r="O110" s="65">
        <f t="shared" si="44"/>
        <v>0</v>
      </c>
      <c r="P110" s="239">
        <f t="shared" si="44"/>
        <v>0</v>
      </c>
    </row>
    <row r="111" ht="12.75" outlineLevel="1">
      <c r="B111" s="73"/>
    </row>
    <row r="112" spans="1:5" s="318" customFormat="1" ht="12.75" outlineLevel="1">
      <c r="A112" s="485"/>
      <c r="B112" s="70" t="s">
        <v>488</v>
      </c>
      <c r="C112" s="1159"/>
      <c r="D112" s="1159"/>
      <c r="E112" s="758"/>
    </row>
    <row r="113" spans="1:16" s="2" customFormat="1" ht="12.75" outlineLevel="1">
      <c r="A113" s="326"/>
      <c r="B113" s="4" t="s">
        <v>163</v>
      </c>
      <c r="C113" s="515"/>
      <c r="D113" s="252">
        <f aca="true" t="shared" si="45" ref="D113:O113">C118</f>
        <v>0</v>
      </c>
      <c r="E113" s="61">
        <f t="shared" si="45"/>
        <v>0</v>
      </c>
      <c r="F113" s="61">
        <f t="shared" si="45"/>
        <v>0</v>
      </c>
      <c r="G113" s="61">
        <f t="shared" si="45"/>
        <v>0</v>
      </c>
      <c r="H113" s="61">
        <f t="shared" si="45"/>
        <v>0</v>
      </c>
      <c r="I113" s="61">
        <f t="shared" si="45"/>
        <v>0</v>
      </c>
      <c r="J113" s="61">
        <f t="shared" si="45"/>
        <v>0</v>
      </c>
      <c r="K113" s="61">
        <f t="shared" si="45"/>
        <v>0</v>
      </c>
      <c r="L113" s="61">
        <f t="shared" si="45"/>
        <v>0</v>
      </c>
      <c r="M113" s="61">
        <f t="shared" si="45"/>
        <v>0</v>
      </c>
      <c r="N113" s="61">
        <f t="shared" si="45"/>
        <v>0</v>
      </c>
      <c r="O113" s="62">
        <f t="shared" si="45"/>
        <v>0</v>
      </c>
      <c r="P113" s="288">
        <f>C118</f>
        <v>0</v>
      </c>
    </row>
    <row r="114" spans="1:16" s="2" customFormat="1" ht="12.75" outlineLevel="1">
      <c r="A114" s="164" t="s">
        <v>355</v>
      </c>
      <c r="B114" s="4" t="str">
        <f>VLOOKUP(A114,Справочники!$B:$F,4,FALSE)</f>
        <v>Поступления займов</v>
      </c>
      <c r="C114" s="520"/>
      <c r="D114" s="287"/>
      <c r="E114" s="71"/>
      <c r="F114" s="71">
        <v>0</v>
      </c>
      <c r="G114" s="71"/>
      <c r="H114" s="71"/>
      <c r="I114" s="71"/>
      <c r="J114" s="71"/>
      <c r="K114" s="71"/>
      <c r="L114" s="71"/>
      <c r="M114" s="71"/>
      <c r="N114" s="71"/>
      <c r="O114" s="72"/>
      <c r="P114" s="82">
        <f>SUM(D114:O114)</f>
        <v>0</v>
      </c>
    </row>
    <row r="115" spans="1:16" s="2" customFormat="1" ht="12.75" outlineLevel="1">
      <c r="A115" s="164" t="s">
        <v>525</v>
      </c>
      <c r="B115" s="5" t="str">
        <f>VLOOKUP(A115,Справочники!$B:$F,3,FALSE)</f>
        <v>Проценты по займам начисленные</v>
      </c>
      <c r="C115" s="520"/>
      <c r="D115" s="39">
        <f>C118*Параметры!D$27/4</f>
        <v>0</v>
      </c>
      <c r="E115" s="39">
        <f>D118*Параметры!E$27/4</f>
        <v>0</v>
      </c>
      <c r="F115" s="39">
        <f>E118*Параметры!F$27/4</f>
        <v>0</v>
      </c>
      <c r="G115" s="39">
        <f>F118*Параметры!G$27/4</f>
        <v>0</v>
      </c>
      <c r="H115" s="39">
        <f>G118*Параметры!H$27</f>
        <v>0</v>
      </c>
      <c r="I115" s="39">
        <f>H118*Параметры!I$27</f>
        <v>0</v>
      </c>
      <c r="J115" s="39">
        <f>I118*Параметры!J$27</f>
        <v>0</v>
      </c>
      <c r="K115" s="39">
        <f>J118*Параметры!K$27</f>
        <v>0</v>
      </c>
      <c r="L115" s="39">
        <f>K118*Параметры!L$27</f>
        <v>0</v>
      </c>
      <c r="M115" s="39">
        <f>L118*Параметры!M$27</f>
        <v>0</v>
      </c>
      <c r="N115" s="39">
        <f>M118*Параметры!N$27</f>
        <v>0</v>
      </c>
      <c r="O115" s="40">
        <f>N118*Параметры!O$27</f>
        <v>0</v>
      </c>
      <c r="P115" s="82">
        <f>SUM(D115:O115)</f>
        <v>0</v>
      </c>
    </row>
    <row r="116" spans="1:16" s="2" customFormat="1" ht="12.75" outlineLevel="1">
      <c r="A116" s="164" t="s">
        <v>525</v>
      </c>
      <c r="B116" s="5" t="str">
        <f>VLOOKUP(A116,Справочники!$B:$F,4,FALSE)</f>
        <v>Проценты по займам выплаченные</v>
      </c>
      <c r="C116" s="520"/>
      <c r="D116" s="41">
        <f aca="true" t="shared" si="46" ref="D116:O116">D115</f>
        <v>0</v>
      </c>
      <c r="E116" s="39">
        <f t="shared" si="46"/>
        <v>0</v>
      </c>
      <c r="F116" s="39">
        <f t="shared" si="46"/>
        <v>0</v>
      </c>
      <c r="G116" s="39">
        <f t="shared" si="46"/>
        <v>0</v>
      </c>
      <c r="H116" s="39">
        <f t="shared" si="46"/>
        <v>0</v>
      </c>
      <c r="I116" s="39">
        <f t="shared" si="46"/>
        <v>0</v>
      </c>
      <c r="J116" s="39">
        <f t="shared" si="46"/>
        <v>0</v>
      </c>
      <c r="K116" s="39">
        <f t="shared" si="46"/>
        <v>0</v>
      </c>
      <c r="L116" s="39">
        <f t="shared" si="46"/>
        <v>0</v>
      </c>
      <c r="M116" s="39">
        <f t="shared" si="46"/>
        <v>0</v>
      </c>
      <c r="N116" s="39">
        <f t="shared" si="46"/>
        <v>0</v>
      </c>
      <c r="O116" s="40">
        <f t="shared" si="46"/>
        <v>0</v>
      </c>
      <c r="P116" s="82">
        <f>SUM(D116:O116)</f>
        <v>0</v>
      </c>
    </row>
    <row r="117" spans="1:16" s="2" customFormat="1" ht="12.75" outlineLevel="1">
      <c r="A117" s="164" t="s">
        <v>364</v>
      </c>
      <c r="B117" s="4" t="str">
        <f>VLOOKUP(A117,Справочники!$B:$F,4,FALSE)</f>
        <v>Выплаты займов</v>
      </c>
      <c r="C117" s="520"/>
      <c r="D117" s="287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2"/>
      <c r="P117" s="82">
        <f>SUM(D117:O117)</f>
        <v>0</v>
      </c>
    </row>
    <row r="118" spans="1:16" s="2" customFormat="1" ht="12.75" outlineLevel="1">
      <c r="A118" s="327"/>
      <c r="B118" s="4" t="s">
        <v>164</v>
      </c>
      <c r="C118" s="756"/>
      <c r="D118" s="244">
        <f aca="true" t="shared" si="47" ref="D118:P118">D113+D114-D117</f>
        <v>0</v>
      </c>
      <c r="E118" s="64">
        <f t="shared" si="47"/>
        <v>0</v>
      </c>
      <c r="F118" s="64">
        <f t="shared" si="47"/>
        <v>0</v>
      </c>
      <c r="G118" s="64">
        <f t="shared" si="47"/>
        <v>0</v>
      </c>
      <c r="H118" s="64">
        <f t="shared" si="47"/>
        <v>0</v>
      </c>
      <c r="I118" s="64">
        <f t="shared" si="47"/>
        <v>0</v>
      </c>
      <c r="J118" s="64">
        <f t="shared" si="47"/>
        <v>0</v>
      </c>
      <c r="K118" s="64">
        <f t="shared" si="47"/>
        <v>0</v>
      </c>
      <c r="L118" s="64">
        <f t="shared" si="47"/>
        <v>0</v>
      </c>
      <c r="M118" s="64">
        <f t="shared" si="47"/>
        <v>0</v>
      </c>
      <c r="N118" s="64">
        <f t="shared" si="47"/>
        <v>0</v>
      </c>
      <c r="O118" s="65">
        <f t="shared" si="47"/>
        <v>0</v>
      </c>
      <c r="P118" s="239">
        <f t="shared" si="47"/>
        <v>0</v>
      </c>
    </row>
    <row r="119" ht="12.75" outlineLevel="1">
      <c r="B119" s="73"/>
    </row>
    <row r="120" ht="12.75">
      <c r="B120" s="73"/>
    </row>
    <row r="121" ht="12.75">
      <c r="B121" s="73"/>
    </row>
    <row r="122" spans="1:16" s="315" customFormat="1" ht="12.75">
      <c r="A122" s="315">
        <v>3</v>
      </c>
      <c r="B122" s="70" t="s">
        <v>460</v>
      </c>
      <c r="C122" s="103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</row>
    <row r="123" spans="2:16" s="12" customFormat="1" ht="12.75">
      <c r="B123" s="67"/>
      <c r="C123" s="68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</row>
    <row r="124" spans="1:16" s="298" customFormat="1" ht="12.75">
      <c r="A124" s="324"/>
      <c r="B124" s="322" t="s">
        <v>163</v>
      </c>
      <c r="C124" s="759"/>
      <c r="D124" s="299">
        <f aca="true" t="shared" si="48" ref="D124:O124">C129</f>
        <v>0</v>
      </c>
      <c r="E124" s="300">
        <f t="shared" si="48"/>
        <v>0</v>
      </c>
      <c r="F124" s="300">
        <f t="shared" si="48"/>
        <v>0</v>
      </c>
      <c r="G124" s="300">
        <f t="shared" si="48"/>
        <v>0</v>
      </c>
      <c r="H124" s="300">
        <f t="shared" si="48"/>
        <v>0</v>
      </c>
      <c r="I124" s="300">
        <f t="shared" si="48"/>
        <v>0</v>
      </c>
      <c r="J124" s="300">
        <f t="shared" si="48"/>
        <v>0</v>
      </c>
      <c r="K124" s="300">
        <f t="shared" si="48"/>
        <v>0</v>
      </c>
      <c r="L124" s="300">
        <f t="shared" si="48"/>
        <v>0</v>
      </c>
      <c r="M124" s="300">
        <f t="shared" si="48"/>
        <v>0</v>
      </c>
      <c r="N124" s="300">
        <f t="shared" si="48"/>
        <v>0</v>
      </c>
      <c r="O124" s="301">
        <f t="shared" si="48"/>
        <v>0</v>
      </c>
      <c r="P124" s="302">
        <f>C129</f>
        <v>0</v>
      </c>
    </row>
    <row r="125" spans="1:16" s="298" customFormat="1" ht="12.75">
      <c r="A125" s="164" t="s">
        <v>367</v>
      </c>
      <c r="B125" s="259" t="str">
        <f>VLOOKUP(A125,Справочники!$B:$F,4,FALSE)</f>
        <v>Размещение свободных ДС на депозитах</v>
      </c>
      <c r="C125" s="760"/>
      <c r="D125" s="303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5"/>
      <c r="P125" s="306">
        <f>SUM(D125:O125)</f>
        <v>0</v>
      </c>
    </row>
    <row r="126" spans="1:16" s="298" customFormat="1" ht="12.75">
      <c r="A126" s="164" t="s">
        <v>358</v>
      </c>
      <c r="B126" s="259" t="str">
        <f>VLOOKUP(A126,Справочники!$B:$F,3,FALSE)</f>
        <v>Проценты по депозитам начисленные</v>
      </c>
      <c r="C126" s="760"/>
      <c r="D126" s="308">
        <f>C129*Параметры!E$28/4</f>
        <v>0</v>
      </c>
      <c r="E126" s="308">
        <f>D129*Параметры!F$28/4</f>
        <v>0</v>
      </c>
      <c r="F126" s="308">
        <f>E129*Параметры!G$28/4</f>
        <v>0</v>
      </c>
      <c r="G126" s="308">
        <f>F129*Параметры!H$28/4</f>
        <v>0</v>
      </c>
      <c r="H126" s="308">
        <f>G129*Параметры!I$28/4</f>
        <v>0</v>
      </c>
      <c r="I126" s="308">
        <f>H129*Параметры!J$28/4</f>
        <v>0</v>
      </c>
      <c r="J126" s="308">
        <f>I129*Параметры!K$28/4</f>
        <v>0</v>
      </c>
      <c r="K126" s="308">
        <f>J129*Параметры!L$28/4</f>
        <v>0</v>
      </c>
      <c r="L126" s="308">
        <f>K129*Параметры!M$28/4</f>
        <v>0</v>
      </c>
      <c r="M126" s="308">
        <f>L129*Параметры!N$28/4</f>
        <v>0</v>
      </c>
      <c r="N126" s="308">
        <f>M129*Параметры!O$28/4</f>
        <v>0</v>
      </c>
      <c r="O126" s="309">
        <f>N129*Параметры!P$28/4</f>
        <v>0</v>
      </c>
      <c r="P126" s="310">
        <f>SUM(D126:O126)</f>
        <v>0</v>
      </c>
    </row>
    <row r="127" spans="1:16" s="298" customFormat="1" ht="12.75">
      <c r="A127" s="164" t="s">
        <v>358</v>
      </c>
      <c r="B127" s="259" t="str">
        <f>VLOOKUP(A127,Справочники!$B:$F,4,FALSE)</f>
        <v>Проценты по депозитам полученные</v>
      </c>
      <c r="C127" s="760"/>
      <c r="D127" s="307">
        <f aca="true" t="shared" si="49" ref="D127:O127">D126</f>
        <v>0</v>
      </c>
      <c r="E127" s="308">
        <f t="shared" si="49"/>
        <v>0</v>
      </c>
      <c r="F127" s="308">
        <f t="shared" si="49"/>
        <v>0</v>
      </c>
      <c r="G127" s="308">
        <f t="shared" si="49"/>
        <v>0</v>
      </c>
      <c r="H127" s="308">
        <f t="shared" si="49"/>
        <v>0</v>
      </c>
      <c r="I127" s="308">
        <f t="shared" si="49"/>
        <v>0</v>
      </c>
      <c r="J127" s="308">
        <f t="shared" si="49"/>
        <v>0</v>
      </c>
      <c r="K127" s="308">
        <f t="shared" si="49"/>
        <v>0</v>
      </c>
      <c r="L127" s="308">
        <f t="shared" si="49"/>
        <v>0</v>
      </c>
      <c r="M127" s="308">
        <f t="shared" si="49"/>
        <v>0</v>
      </c>
      <c r="N127" s="308">
        <f t="shared" si="49"/>
        <v>0</v>
      </c>
      <c r="O127" s="309">
        <f t="shared" si="49"/>
        <v>0</v>
      </c>
      <c r="P127" s="310">
        <f>SUM(D127:O127)</f>
        <v>0</v>
      </c>
    </row>
    <row r="128" spans="1:16" s="298" customFormat="1" ht="12.75">
      <c r="A128" s="164" t="s">
        <v>357</v>
      </c>
      <c r="B128" s="259" t="str">
        <f>VLOOKUP(A128,Справочники!$B:$F,4,FALSE)</f>
        <v>Возврат  депозитов</v>
      </c>
      <c r="C128" s="760"/>
      <c r="D128" s="303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5"/>
      <c r="P128" s="306">
        <f>SUM(D128:O128)</f>
        <v>0</v>
      </c>
    </row>
    <row r="129" spans="1:16" s="298" customFormat="1" ht="12.75">
      <c r="A129" s="325"/>
      <c r="B129" s="323" t="s">
        <v>164</v>
      </c>
      <c r="C129" s="761"/>
      <c r="D129" s="311">
        <f aca="true" t="shared" si="50" ref="D129:P129">D124+D125-D128</f>
        <v>0</v>
      </c>
      <c r="E129" s="312">
        <f t="shared" si="50"/>
        <v>0</v>
      </c>
      <c r="F129" s="312">
        <f t="shared" si="50"/>
        <v>0</v>
      </c>
      <c r="G129" s="312">
        <f t="shared" si="50"/>
        <v>0</v>
      </c>
      <c r="H129" s="312">
        <f t="shared" si="50"/>
        <v>0</v>
      </c>
      <c r="I129" s="312">
        <f t="shared" si="50"/>
        <v>0</v>
      </c>
      <c r="J129" s="312">
        <f t="shared" si="50"/>
        <v>0</v>
      </c>
      <c r="K129" s="312">
        <f t="shared" si="50"/>
        <v>0</v>
      </c>
      <c r="L129" s="312">
        <f t="shared" si="50"/>
        <v>0</v>
      </c>
      <c r="M129" s="312">
        <f t="shared" si="50"/>
        <v>0</v>
      </c>
      <c r="N129" s="312">
        <f t="shared" si="50"/>
        <v>0</v>
      </c>
      <c r="O129" s="313">
        <f t="shared" si="50"/>
        <v>0</v>
      </c>
      <c r="P129" s="314">
        <f t="shared" si="50"/>
        <v>0</v>
      </c>
    </row>
  </sheetData>
  <sheetProtection/>
  <mergeCells count="22">
    <mergeCell ref="O8:O9"/>
    <mergeCell ref="C62:D62"/>
    <mergeCell ref="N3:P3"/>
    <mergeCell ref="A4:M4"/>
    <mergeCell ref="A8:A9"/>
    <mergeCell ref="B8:B9"/>
    <mergeCell ref="C8:C9"/>
    <mergeCell ref="P8:P9"/>
    <mergeCell ref="H8:H9"/>
    <mergeCell ref="M8:M9"/>
    <mergeCell ref="A3:M3"/>
    <mergeCell ref="I8:I9"/>
    <mergeCell ref="J8:J9"/>
    <mergeCell ref="K8:K9"/>
    <mergeCell ref="L8:L9"/>
    <mergeCell ref="D8:G8"/>
    <mergeCell ref="C70:D70"/>
    <mergeCell ref="C78:D78"/>
    <mergeCell ref="C112:D112"/>
    <mergeCell ref="C96:D96"/>
    <mergeCell ref="C104:D104"/>
    <mergeCell ref="N8:N9"/>
  </mergeCells>
  <hyperlinks>
    <hyperlink ref="A1" location="Содержание!A1" display="Вернуться к содержанию"/>
  </hyperlinks>
  <printOptions/>
  <pageMargins left="0.34" right="0.3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Y274"/>
  <sheetViews>
    <sheetView zoomScalePageLayoutView="0" workbookViewId="0" topLeftCell="A1">
      <selection activeCell="D1" sqref="D1"/>
    </sheetView>
  </sheetViews>
  <sheetFormatPr defaultColWidth="9.00390625" defaultRowHeight="12.75" outlineLevelRow="2"/>
  <cols>
    <col min="1" max="1" width="6.375" style="358" customWidth="1"/>
    <col min="2" max="2" width="8.00390625" style="358" customWidth="1"/>
    <col min="3" max="3" width="12.125" style="361" customWidth="1"/>
    <col min="4" max="4" width="68.25390625" style="359" customWidth="1"/>
    <col min="5" max="5" width="70.125" style="361" bestFit="1" customWidth="1"/>
    <col min="6" max="6" width="12.00390625" style="361" customWidth="1"/>
    <col min="7" max="7" width="8.25390625" style="361" customWidth="1"/>
    <col min="8" max="8" width="11.25390625" style="361" customWidth="1"/>
    <col min="9" max="9" width="8.125" style="361" customWidth="1"/>
    <col min="10" max="10" width="19.25390625" style="361" customWidth="1"/>
    <col min="11" max="11" width="5.125" style="361" customWidth="1"/>
    <col min="12" max="12" width="6.25390625" style="361" customWidth="1"/>
    <col min="13" max="13" width="6.125" style="361" customWidth="1"/>
    <col min="14" max="45" width="6.25390625" style="361" customWidth="1"/>
    <col min="46" max="47" width="7.00390625" style="361" customWidth="1"/>
    <col min="48" max="48" width="9.75390625" style="361" customWidth="1"/>
    <col min="49" max="77" width="6.25390625" style="361" customWidth="1"/>
    <col min="78" max="16384" width="9.125" style="361" customWidth="1"/>
  </cols>
  <sheetData>
    <row r="1" spans="1:3" s="2" customFormat="1" ht="12.75">
      <c r="A1" s="6" t="s">
        <v>129</v>
      </c>
      <c r="C1" s="8"/>
    </row>
    <row r="2" spans="2:41" ht="15" customHeight="1">
      <c r="B2" s="159" t="s">
        <v>262</v>
      </c>
      <c r="C2" s="159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</row>
    <row r="3" spans="1:41" ht="12.75" customHeight="1">
      <c r="A3" s="160" t="s">
        <v>263</v>
      </c>
      <c r="B3" s="160" t="s">
        <v>264</v>
      </c>
      <c r="C3" s="159"/>
      <c r="D3" s="161" t="s">
        <v>265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</row>
    <row r="4" spans="1:7" ht="12.75">
      <c r="A4" s="362">
        <v>1</v>
      </c>
      <c r="B4" s="362" t="s">
        <v>266</v>
      </c>
      <c r="C4" s="363"/>
      <c r="D4" s="364" t="s">
        <v>333</v>
      </c>
      <c r="E4" s="365"/>
      <c r="F4" s="366"/>
      <c r="G4" s="367"/>
    </row>
    <row r="5" spans="1:7" ht="12.75">
      <c r="A5" s="362">
        <f>A4+1</f>
        <v>2</v>
      </c>
      <c r="B5" s="362" t="s">
        <v>267</v>
      </c>
      <c r="C5" s="363"/>
      <c r="D5" s="364" t="s">
        <v>268</v>
      </c>
      <c r="E5" s="365"/>
      <c r="F5" s="366"/>
      <c r="G5" s="367"/>
    </row>
    <row r="6" spans="1:7" ht="12.75">
      <c r="A6" s="362">
        <f>A5+1</f>
        <v>3</v>
      </c>
      <c r="B6" s="362" t="s">
        <v>269</v>
      </c>
      <c r="C6" s="363"/>
      <c r="D6" s="364" t="s">
        <v>270</v>
      </c>
      <c r="E6" s="365"/>
      <c r="F6" s="366"/>
      <c r="G6" s="367"/>
    </row>
    <row r="7" spans="1:7" ht="12.75">
      <c r="A7" s="362">
        <f>A6+1</f>
        <v>4</v>
      </c>
      <c r="B7" s="362" t="s">
        <v>271</v>
      </c>
      <c r="C7" s="363"/>
      <c r="D7" s="364" t="s">
        <v>272</v>
      </c>
      <c r="E7" s="365"/>
      <c r="F7" s="366"/>
      <c r="G7" s="367"/>
    </row>
    <row r="8" spans="1:6" ht="12.75">
      <c r="A8" s="362">
        <f>A7+1</f>
        <v>5</v>
      </c>
      <c r="B8" s="362" t="s">
        <v>273</v>
      </c>
      <c r="C8" s="363"/>
      <c r="D8" s="364" t="s">
        <v>375</v>
      </c>
      <c r="E8" s="365"/>
      <c r="F8" s="366"/>
    </row>
    <row r="9" spans="1:6" ht="12.75">
      <c r="A9" s="362">
        <f>A8+1</f>
        <v>6</v>
      </c>
      <c r="B9" s="362" t="s">
        <v>374</v>
      </c>
      <c r="C9" s="363"/>
      <c r="D9" s="364" t="s">
        <v>274</v>
      </c>
      <c r="E9" s="365"/>
      <c r="F9" s="366"/>
    </row>
    <row r="10" spans="1:30" s="372" customFormat="1" ht="13.5" thickBot="1">
      <c r="A10" s="368"/>
      <c r="B10" s="368" t="s">
        <v>225</v>
      </c>
      <c r="C10" s="368" t="s">
        <v>225</v>
      </c>
      <c r="D10" s="369" t="s">
        <v>225</v>
      </c>
      <c r="E10" s="370" t="s">
        <v>275</v>
      </c>
      <c r="F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</row>
    <row r="11" spans="1:30" s="360" customFormat="1" ht="12.75">
      <c r="A11" s="373"/>
      <c r="B11" s="373"/>
      <c r="C11" s="373"/>
      <c r="D11" s="374"/>
      <c r="E11" s="375"/>
      <c r="F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</row>
    <row r="12" ht="12.75"/>
    <row r="13" spans="1:5" ht="14.25">
      <c r="A13" s="362"/>
      <c r="B13" s="159" t="s">
        <v>497</v>
      </c>
      <c r="C13" s="159"/>
      <c r="D13" s="377"/>
      <c r="E13" s="378"/>
    </row>
    <row r="14" spans="1:5" ht="14.25">
      <c r="A14" s="362"/>
      <c r="B14" s="159"/>
      <c r="C14" s="159"/>
      <c r="D14" s="377"/>
      <c r="E14" s="378"/>
    </row>
    <row r="15" spans="1:10" ht="12.75">
      <c r="A15" s="362">
        <f>1</f>
        <v>1</v>
      </c>
      <c r="B15" s="344" t="s">
        <v>276</v>
      </c>
      <c r="C15" s="379"/>
      <c r="D15" s="383" t="s">
        <v>498</v>
      </c>
      <c r="E15" s="380"/>
      <c r="J15" s="381"/>
    </row>
    <row r="16" spans="1:10" ht="12.75">
      <c r="A16" s="362">
        <f>A15+1</f>
        <v>2</v>
      </c>
      <c r="B16" s="344" t="s">
        <v>277</v>
      </c>
      <c r="C16" s="379"/>
      <c r="D16" s="383" t="s">
        <v>499</v>
      </c>
      <c r="E16" s="380"/>
      <c r="J16" s="381"/>
    </row>
    <row r="17" spans="1:10" ht="12.75">
      <c r="A17" s="362">
        <f>A16+1</f>
        <v>3</v>
      </c>
      <c r="B17" s="344" t="s">
        <v>278</v>
      </c>
      <c r="C17" s="379"/>
      <c r="D17" s="383" t="s">
        <v>500</v>
      </c>
      <c r="E17" s="380"/>
      <c r="J17" s="381"/>
    </row>
    <row r="18" spans="1:10" ht="12.75">
      <c r="A18" s="362">
        <f>A17+1</f>
        <v>4</v>
      </c>
      <c r="B18" s="344" t="s">
        <v>279</v>
      </c>
      <c r="C18" s="379"/>
      <c r="D18" s="383" t="s">
        <v>501</v>
      </c>
      <c r="E18" s="380"/>
      <c r="J18" s="381"/>
    </row>
    <row r="19" spans="1:30" s="372" customFormat="1" ht="13.5" thickBot="1">
      <c r="A19" s="368"/>
      <c r="B19" s="368" t="s">
        <v>225</v>
      </c>
      <c r="C19" s="368" t="s">
        <v>225</v>
      </c>
      <c r="D19" s="382" t="s">
        <v>225</v>
      </c>
      <c r="E19" s="370" t="s">
        <v>275</v>
      </c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</row>
    <row r="20" spans="1:30" s="360" customFormat="1" ht="12.75">
      <c r="A20" s="373"/>
      <c r="B20" s="373"/>
      <c r="C20" s="373"/>
      <c r="D20" s="383"/>
      <c r="E20" s="375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</row>
    <row r="21" spans="1:30" ht="12.75">
      <c r="A21" s="384"/>
      <c r="B21" s="384"/>
      <c r="C21" s="385"/>
      <c r="D21" s="364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</row>
    <row r="22" spans="1:5" ht="14.25">
      <c r="A22" s="362"/>
      <c r="B22" s="159" t="s">
        <v>496</v>
      </c>
      <c r="C22" s="159"/>
      <c r="D22" s="377"/>
      <c r="E22" s="378"/>
    </row>
    <row r="23" spans="1:5" ht="14.25">
      <c r="A23" s="362"/>
      <c r="B23" s="159"/>
      <c r="C23" s="159"/>
      <c r="D23" s="377"/>
      <c r="E23" s="378"/>
    </row>
    <row r="24" spans="1:10" ht="12.75">
      <c r="A24" s="362">
        <f>1</f>
        <v>1</v>
      </c>
      <c r="B24" s="344" t="s">
        <v>323</v>
      </c>
      <c r="C24" s="386"/>
      <c r="D24" s="378" t="s">
        <v>536</v>
      </c>
      <c r="E24" s="381"/>
      <c r="F24" s="362"/>
      <c r="H24" s="362"/>
      <c r="I24" s="363"/>
      <c r="J24" s="385"/>
    </row>
    <row r="25" spans="1:10" ht="12.75">
      <c r="A25" s="362">
        <f aca="true" t="shared" si="0" ref="A25:A30">A24+1</f>
        <v>2</v>
      </c>
      <c r="B25" s="344" t="s">
        <v>324</v>
      </c>
      <c r="C25" s="386"/>
      <c r="D25" s="378" t="s">
        <v>537</v>
      </c>
      <c r="E25" s="381"/>
      <c r="F25" s="362"/>
      <c r="H25" s="362"/>
      <c r="I25" s="363"/>
      <c r="J25" s="385"/>
    </row>
    <row r="26" spans="1:10" ht="12.75">
      <c r="A26" s="362">
        <f t="shared" si="0"/>
        <v>3</v>
      </c>
      <c r="B26" s="344" t="s">
        <v>325</v>
      </c>
      <c r="C26" s="386"/>
      <c r="D26" s="378" t="s">
        <v>538</v>
      </c>
      <c r="E26" s="381"/>
      <c r="F26" s="362"/>
      <c r="H26" s="362"/>
      <c r="I26" s="363"/>
      <c r="J26" s="385"/>
    </row>
    <row r="27" spans="1:10" ht="12.75">
      <c r="A27" s="362">
        <f t="shared" si="0"/>
        <v>4</v>
      </c>
      <c r="B27" s="344" t="s">
        <v>326</v>
      </c>
      <c r="C27" s="386"/>
      <c r="D27" s="378" t="s">
        <v>539</v>
      </c>
      <c r="E27" s="381"/>
      <c r="F27" s="362"/>
      <c r="H27" s="362"/>
      <c r="I27" s="363"/>
      <c r="J27" s="385"/>
    </row>
    <row r="28" spans="1:10" ht="12.75">
      <c r="A28" s="362">
        <f t="shared" si="0"/>
        <v>5</v>
      </c>
      <c r="B28" s="344" t="s">
        <v>327</v>
      </c>
      <c r="C28" s="386"/>
      <c r="D28" s="378" t="s">
        <v>540</v>
      </c>
      <c r="E28" s="381"/>
      <c r="F28" s="362"/>
      <c r="H28" s="362"/>
      <c r="I28" s="363"/>
      <c r="J28" s="385"/>
    </row>
    <row r="29" spans="1:10" ht="12.75">
      <c r="A29" s="362">
        <f t="shared" si="0"/>
        <v>6</v>
      </c>
      <c r="B29" s="344" t="s">
        <v>328</v>
      </c>
      <c r="C29" s="344"/>
      <c r="D29" s="378" t="s">
        <v>744</v>
      </c>
      <c r="E29" s="381"/>
      <c r="F29" s="362"/>
      <c r="J29" s="381"/>
    </row>
    <row r="30" spans="1:10" ht="12.75">
      <c r="A30" s="362">
        <f t="shared" si="0"/>
        <v>7</v>
      </c>
      <c r="B30" s="344" t="s">
        <v>280</v>
      </c>
      <c r="C30" s="344"/>
      <c r="D30" s="378" t="s">
        <v>788</v>
      </c>
      <c r="E30" s="381"/>
      <c r="F30" s="362"/>
      <c r="J30" s="381"/>
    </row>
    <row r="31" spans="1:30" s="372" customFormat="1" ht="13.5" thickBot="1">
      <c r="A31" s="368"/>
      <c r="B31" s="368" t="s">
        <v>225</v>
      </c>
      <c r="C31" s="371"/>
      <c r="D31" s="382" t="s">
        <v>225</v>
      </c>
      <c r="E31" s="370" t="s">
        <v>275</v>
      </c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</row>
    <row r="32" spans="1:71" ht="12.75">
      <c r="A32" s="362"/>
      <c r="B32" s="362"/>
      <c r="C32" s="362"/>
      <c r="D32" s="388"/>
      <c r="E32" s="389"/>
      <c r="F32" s="390"/>
      <c r="G32" s="390"/>
      <c r="H32" s="390"/>
      <c r="I32" s="390"/>
      <c r="J32" s="390"/>
      <c r="K32" s="390"/>
      <c r="L32" s="390"/>
      <c r="M32" s="390"/>
      <c r="N32" s="390"/>
      <c r="O32" s="391"/>
      <c r="P32" s="391"/>
      <c r="Q32" s="391"/>
      <c r="R32" s="391"/>
      <c r="S32" s="391"/>
      <c r="T32" s="390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391"/>
      <c r="BK32" s="391"/>
      <c r="BL32" s="391"/>
      <c r="BM32" s="391"/>
      <c r="BN32" s="391"/>
      <c r="BO32" s="391"/>
      <c r="BP32" s="391"/>
      <c r="BQ32" s="391"/>
      <c r="BR32" s="391"/>
      <c r="BS32" s="391"/>
    </row>
    <row r="33" spans="1:71" ht="12.75">
      <c r="A33" s="362"/>
      <c r="B33" s="362"/>
      <c r="C33" s="362"/>
      <c r="D33" s="388"/>
      <c r="E33" s="389"/>
      <c r="F33" s="390"/>
      <c r="G33" s="390"/>
      <c r="H33" s="390"/>
      <c r="I33" s="390"/>
      <c r="J33" s="390"/>
      <c r="K33" s="390"/>
      <c r="L33" s="390"/>
      <c r="M33" s="390"/>
      <c r="N33" s="390"/>
      <c r="O33" s="391"/>
      <c r="P33" s="391"/>
      <c r="Q33" s="391"/>
      <c r="R33" s="391"/>
      <c r="S33" s="391"/>
      <c r="T33" s="390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1"/>
      <c r="BC33" s="391"/>
      <c r="BD33" s="391"/>
      <c r="BE33" s="391"/>
      <c r="BF33" s="391"/>
      <c r="BG33" s="391"/>
      <c r="BH33" s="391"/>
      <c r="BI33" s="391"/>
      <c r="BJ33" s="391"/>
      <c r="BK33" s="391"/>
      <c r="BL33" s="391"/>
      <c r="BM33" s="391"/>
      <c r="BN33" s="391"/>
      <c r="BO33" s="391"/>
      <c r="BP33" s="391"/>
      <c r="BQ33" s="391"/>
      <c r="BR33" s="391"/>
      <c r="BS33" s="391"/>
    </row>
    <row r="34" spans="1:5" ht="14.25">
      <c r="A34" s="362"/>
      <c r="B34" s="159" t="s">
        <v>285</v>
      </c>
      <c r="C34" s="159"/>
      <c r="D34" s="377"/>
      <c r="E34" s="378"/>
    </row>
    <row r="35" spans="1:5" ht="14.25">
      <c r="A35" s="362"/>
      <c r="B35" s="159"/>
      <c r="C35" s="159"/>
      <c r="D35" s="377"/>
      <c r="E35" s="378"/>
    </row>
    <row r="36" spans="1:5" ht="14.25" customHeight="1">
      <c r="A36" s="1118" t="s">
        <v>283</v>
      </c>
      <c r="B36" s="1118"/>
      <c r="C36" s="1118"/>
      <c r="D36" s="1118"/>
      <c r="E36" s="1118"/>
    </row>
    <row r="37" spans="1:5" ht="14.25">
      <c r="A37" s="362"/>
      <c r="B37" s="159"/>
      <c r="C37" s="159"/>
      <c r="D37" s="377"/>
      <c r="E37" s="378"/>
    </row>
    <row r="38" spans="1:5" s="395" customFormat="1" ht="14.25">
      <c r="A38" s="362">
        <f>1</f>
        <v>1</v>
      </c>
      <c r="B38" s="344" t="s">
        <v>288</v>
      </c>
      <c r="C38" s="159"/>
      <c r="D38" s="394" t="s">
        <v>286</v>
      </c>
      <c r="E38" s="394" t="s">
        <v>80</v>
      </c>
    </row>
    <row r="39" spans="1:5" ht="14.25">
      <c r="A39" s="362">
        <f aca="true" t="shared" si="1" ref="A39:A48">A38+1</f>
        <v>2</v>
      </c>
      <c r="B39" s="344" t="s">
        <v>289</v>
      </c>
      <c r="C39" s="159"/>
      <c r="D39" s="292" t="s">
        <v>543</v>
      </c>
      <c r="E39" s="292" t="s">
        <v>548</v>
      </c>
    </row>
    <row r="40" spans="1:5" ht="14.25">
      <c r="A40" s="362">
        <f t="shared" si="1"/>
        <v>3</v>
      </c>
      <c r="B40" s="344" t="s">
        <v>290</v>
      </c>
      <c r="C40" s="159"/>
      <c r="D40" s="292" t="s">
        <v>544</v>
      </c>
      <c r="E40" s="292" t="s">
        <v>549</v>
      </c>
    </row>
    <row r="41" spans="1:5" ht="14.25">
      <c r="A41" s="362">
        <f t="shared" si="1"/>
        <v>4</v>
      </c>
      <c r="B41" s="344" t="s">
        <v>291</v>
      </c>
      <c r="C41" s="159"/>
      <c r="D41" s="292" t="s">
        <v>545</v>
      </c>
      <c r="E41" s="292" t="s">
        <v>550</v>
      </c>
    </row>
    <row r="42" spans="1:5" ht="14.25">
      <c r="A42" s="362">
        <f t="shared" si="1"/>
        <v>5</v>
      </c>
      <c r="B42" s="344" t="s">
        <v>292</v>
      </c>
      <c r="C42" s="159"/>
      <c r="D42" s="292" t="s">
        <v>546</v>
      </c>
      <c r="E42" s="292" t="s">
        <v>551</v>
      </c>
    </row>
    <row r="43" spans="1:5" ht="14.25">
      <c r="A43" s="362">
        <f t="shared" si="1"/>
        <v>6</v>
      </c>
      <c r="B43" s="344" t="s">
        <v>293</v>
      </c>
      <c r="C43" s="159"/>
      <c r="D43" s="292" t="s">
        <v>547</v>
      </c>
      <c r="E43" s="292" t="s">
        <v>552</v>
      </c>
    </row>
    <row r="44" spans="1:5" ht="14.25">
      <c r="A44" s="362">
        <f t="shared" si="1"/>
        <v>7</v>
      </c>
      <c r="B44" s="344" t="s">
        <v>134</v>
      </c>
      <c r="C44" s="159"/>
      <c r="D44" s="292" t="s">
        <v>742</v>
      </c>
      <c r="E44" s="292" t="s">
        <v>743</v>
      </c>
    </row>
    <row r="45" spans="1:5" ht="14.25">
      <c r="A45" s="362">
        <f t="shared" si="1"/>
        <v>8</v>
      </c>
      <c r="B45" s="344" t="s">
        <v>506</v>
      </c>
      <c r="C45" s="159"/>
      <c r="D45" s="292" t="s">
        <v>782</v>
      </c>
      <c r="E45" s="292" t="s">
        <v>783</v>
      </c>
    </row>
    <row r="46" spans="1:5" ht="14.25">
      <c r="A46" s="362">
        <f t="shared" si="1"/>
        <v>9</v>
      </c>
      <c r="B46" s="344" t="s">
        <v>507</v>
      </c>
      <c r="C46" s="159"/>
      <c r="D46" s="1067"/>
      <c r="E46" s="292" t="s">
        <v>509</v>
      </c>
    </row>
    <row r="47" spans="1:5" ht="14.25">
      <c r="A47" s="362">
        <f t="shared" si="1"/>
        <v>10</v>
      </c>
      <c r="B47" s="344" t="s">
        <v>508</v>
      </c>
      <c r="C47" s="159"/>
      <c r="D47" s="292" t="s">
        <v>511</v>
      </c>
      <c r="E47" s="292" t="s">
        <v>282</v>
      </c>
    </row>
    <row r="48" spans="1:5" ht="14.25">
      <c r="A48" s="362">
        <f t="shared" si="1"/>
        <v>11</v>
      </c>
      <c r="B48" s="344" t="s">
        <v>510</v>
      </c>
      <c r="C48" s="159"/>
      <c r="D48" s="293"/>
      <c r="E48" s="293" t="s">
        <v>135</v>
      </c>
    </row>
    <row r="49" spans="1:5" ht="14.25">
      <c r="A49" s="362"/>
      <c r="B49" s="344"/>
      <c r="C49" s="159"/>
      <c r="D49" s="163"/>
      <c r="E49" s="378"/>
    </row>
    <row r="50" spans="1:5" s="395" customFormat="1" ht="15.75" customHeight="1">
      <c r="A50" s="362">
        <v>1</v>
      </c>
      <c r="B50" s="344" t="s">
        <v>294</v>
      </c>
      <c r="C50" s="159"/>
      <c r="D50" s="397" t="s">
        <v>287</v>
      </c>
      <c r="E50" s="1068" t="s">
        <v>81</v>
      </c>
    </row>
    <row r="51" spans="1:10" ht="12.75" collapsed="1">
      <c r="A51" s="362">
        <f aca="true" t="shared" si="2" ref="A51:A141">A50+1</f>
        <v>2</v>
      </c>
      <c r="B51" s="726" t="s">
        <v>295</v>
      </c>
      <c r="C51" s="344"/>
      <c r="D51" s="398" t="s">
        <v>215</v>
      </c>
      <c r="E51" s="398" t="str">
        <f>D51</f>
        <v>Материальные затраты</v>
      </c>
      <c r="F51" s="362"/>
      <c r="H51" s="362"/>
      <c r="I51" s="363"/>
      <c r="J51" s="385"/>
    </row>
    <row r="52" spans="1:10" ht="12.75" hidden="1" outlineLevel="1">
      <c r="A52" s="362">
        <f t="shared" si="2"/>
        <v>3</v>
      </c>
      <c r="B52" s="726" t="s">
        <v>296</v>
      </c>
      <c r="C52" s="344"/>
      <c r="D52" s="401" t="s">
        <v>513</v>
      </c>
      <c r="E52" s="400" t="str">
        <f aca="true" t="shared" si="3" ref="E52:E95">D52</f>
        <v>Материалы на содержание и ремонт зданий и сооружений</v>
      </c>
      <c r="F52" s="362"/>
      <c r="H52" s="362"/>
      <c r="I52" s="363"/>
      <c r="J52" s="385"/>
    </row>
    <row r="53" spans="1:10" ht="12.75" hidden="1" outlineLevel="1">
      <c r="A53" s="362">
        <f t="shared" si="2"/>
        <v>4</v>
      </c>
      <c r="B53" s="726" t="s">
        <v>297</v>
      </c>
      <c r="C53" s="344"/>
      <c r="D53" s="401" t="s">
        <v>514</v>
      </c>
      <c r="E53" s="400" t="str">
        <f t="shared" si="3"/>
        <v>Материалы на содержание и ремонт транспортных средств</v>
      </c>
      <c r="F53" s="362"/>
      <c r="H53" s="362"/>
      <c r="I53" s="363"/>
      <c r="J53" s="385"/>
    </row>
    <row r="54" spans="1:10" ht="12.75" hidden="1" outlineLevel="1">
      <c r="A54" s="362">
        <f t="shared" si="2"/>
        <v>5</v>
      </c>
      <c r="B54" s="726" t="s">
        <v>298</v>
      </c>
      <c r="C54" s="344"/>
      <c r="D54" s="400" t="s">
        <v>515</v>
      </c>
      <c r="E54" s="400" t="str">
        <f t="shared" si="3"/>
        <v>Материалы на содержание и ремонт технол. оборудования</v>
      </c>
      <c r="F54" s="362"/>
      <c r="H54" s="362"/>
      <c r="I54" s="363"/>
      <c r="J54" s="385"/>
    </row>
    <row r="55" spans="1:10" ht="12.75" hidden="1" outlineLevel="1">
      <c r="A55" s="362">
        <f t="shared" si="2"/>
        <v>6</v>
      </c>
      <c r="B55" s="726" t="s">
        <v>299</v>
      </c>
      <c r="C55" s="344"/>
      <c r="D55" s="400" t="s">
        <v>176</v>
      </c>
      <c r="E55" s="400" t="str">
        <f t="shared" si="3"/>
        <v>ГСМ</v>
      </c>
      <c r="F55" s="362"/>
      <c r="J55" s="381"/>
    </row>
    <row r="56" spans="1:10" ht="12.75" hidden="1" outlineLevel="1">
      <c r="A56" s="362">
        <f t="shared" si="2"/>
        <v>7</v>
      </c>
      <c r="B56" s="726" t="s">
        <v>300</v>
      </c>
      <c r="C56" s="344"/>
      <c r="D56" s="400" t="s">
        <v>177</v>
      </c>
      <c r="E56" s="400" t="str">
        <f t="shared" si="3"/>
        <v>Расходные материалы для компьютерной и офисной техники</v>
      </c>
      <c r="F56" s="362"/>
      <c r="J56" s="381"/>
    </row>
    <row r="57" spans="1:10" ht="12.75" hidden="1" outlineLevel="1">
      <c r="A57" s="362">
        <f t="shared" si="2"/>
        <v>8</v>
      </c>
      <c r="B57" s="726" t="s">
        <v>301</v>
      </c>
      <c r="C57" s="344"/>
      <c r="D57" s="400" t="s">
        <v>178</v>
      </c>
      <c r="E57" s="400" t="str">
        <f t="shared" si="3"/>
        <v>Запасные части для компьютерной и офисной техники</v>
      </c>
      <c r="F57" s="362"/>
      <c r="J57" s="381"/>
    </row>
    <row r="58" spans="1:10" ht="12.75" hidden="1" outlineLevel="1">
      <c r="A58" s="362">
        <f t="shared" si="2"/>
        <v>9</v>
      </c>
      <c r="B58" s="726" t="s">
        <v>302</v>
      </c>
      <c r="C58" s="363"/>
      <c r="D58" s="400" t="s">
        <v>179</v>
      </c>
      <c r="E58" s="400" t="str">
        <f t="shared" si="3"/>
        <v>Хозяйственный инвентарь</v>
      </c>
      <c r="F58" s="362"/>
      <c r="J58" s="381"/>
    </row>
    <row r="59" spans="1:10" ht="12.75" hidden="1" outlineLevel="1">
      <c r="A59" s="362">
        <f t="shared" si="2"/>
        <v>10</v>
      </c>
      <c r="B59" s="726" t="s">
        <v>303</v>
      </c>
      <c r="C59" s="363"/>
      <c r="D59" s="400" t="s">
        <v>180</v>
      </c>
      <c r="E59" s="400" t="str">
        <f t="shared" si="3"/>
        <v>Канцелярские товары</v>
      </c>
      <c r="F59" s="362"/>
      <c r="J59" s="381"/>
    </row>
    <row r="60" spans="1:10" ht="12.75" hidden="1" outlineLevel="1">
      <c r="A60" s="362">
        <f t="shared" si="2"/>
        <v>11</v>
      </c>
      <c r="B60" s="726" t="s">
        <v>304</v>
      </c>
      <c r="C60" s="363"/>
      <c r="D60" s="400" t="s">
        <v>181</v>
      </c>
      <c r="E60" s="400" t="str">
        <f t="shared" si="3"/>
        <v>Продукты питания</v>
      </c>
      <c r="F60" s="362"/>
      <c r="J60" s="381"/>
    </row>
    <row r="61" spans="1:10" ht="12.75" hidden="1" outlineLevel="1">
      <c r="A61" s="362">
        <f t="shared" si="2"/>
        <v>12</v>
      </c>
      <c r="B61" s="726" t="s">
        <v>306</v>
      </c>
      <c r="C61" s="363"/>
      <c r="D61" s="400" t="s">
        <v>182</v>
      </c>
      <c r="E61" s="400" t="str">
        <f t="shared" si="3"/>
        <v>Вода</v>
      </c>
      <c r="F61" s="362"/>
      <c r="J61" s="381"/>
    </row>
    <row r="62" spans="1:10" ht="12.75" hidden="1" outlineLevel="1">
      <c r="A62" s="362">
        <f t="shared" si="2"/>
        <v>13</v>
      </c>
      <c r="B62" s="726" t="s">
        <v>307</v>
      </c>
      <c r="C62" s="363"/>
      <c r="D62" s="400" t="s">
        <v>75</v>
      </c>
      <c r="E62" s="400" t="str">
        <f t="shared" si="3"/>
        <v>Материалы для службы охраны</v>
      </c>
      <c r="F62" s="362"/>
      <c r="J62" s="381"/>
    </row>
    <row r="63" spans="1:10" ht="12.75" hidden="1" outlineLevel="1">
      <c r="A63" s="362">
        <f t="shared" si="2"/>
        <v>14</v>
      </c>
      <c r="B63" s="726" t="s">
        <v>8</v>
      </c>
      <c r="C63" s="363"/>
      <c r="D63" s="400" t="s">
        <v>524</v>
      </c>
      <c r="E63" s="400" t="str">
        <f t="shared" si="3"/>
        <v>Электроэнергия</v>
      </c>
      <c r="F63" s="362"/>
      <c r="J63" s="381"/>
    </row>
    <row r="64" spans="1:10" ht="12.75" hidden="1" outlineLevel="1">
      <c r="A64" s="362">
        <f t="shared" si="2"/>
        <v>15</v>
      </c>
      <c r="B64" s="726" t="s">
        <v>76</v>
      </c>
      <c r="C64" s="363"/>
      <c r="D64" s="400" t="s">
        <v>183</v>
      </c>
      <c r="E64" s="400" t="str">
        <f t="shared" si="3"/>
        <v>Прочие материалы</v>
      </c>
      <c r="J64" s="381"/>
    </row>
    <row r="65" spans="1:10" ht="12.75">
      <c r="A65" s="362">
        <f t="shared" si="2"/>
        <v>16</v>
      </c>
      <c r="B65" s="726" t="s">
        <v>308</v>
      </c>
      <c r="C65" s="363"/>
      <c r="D65" s="398" t="s">
        <v>249</v>
      </c>
      <c r="E65" s="398" t="str">
        <f t="shared" si="3"/>
        <v>Расходы на оплату труда</v>
      </c>
      <c r="J65" s="381"/>
    </row>
    <row r="66" spans="1:10" ht="12.75" outlineLevel="1">
      <c r="A66" s="362">
        <f t="shared" si="2"/>
        <v>17</v>
      </c>
      <c r="B66" s="726" t="s">
        <v>309</v>
      </c>
      <c r="C66" s="363"/>
      <c r="D66" s="401" t="s">
        <v>155</v>
      </c>
      <c r="E66" s="401" t="str">
        <f t="shared" si="3"/>
        <v>Окладная часть</v>
      </c>
      <c r="J66" s="381"/>
    </row>
    <row r="67" spans="1:10" ht="12.75" outlineLevel="1">
      <c r="A67" s="362">
        <f t="shared" si="2"/>
        <v>18</v>
      </c>
      <c r="B67" s="726" t="s">
        <v>310</v>
      </c>
      <c r="C67" s="363"/>
      <c r="D67" s="401" t="s">
        <v>792</v>
      </c>
      <c r="E67" s="401" t="str">
        <f t="shared" si="3"/>
        <v>Бонусы </v>
      </c>
      <c r="J67" s="381"/>
    </row>
    <row r="68" spans="1:10" ht="12.75" outlineLevel="1">
      <c r="A68" s="362">
        <f t="shared" si="2"/>
        <v>19</v>
      </c>
      <c r="B68" s="726" t="s">
        <v>311</v>
      </c>
      <c r="C68" s="363"/>
      <c r="D68" s="401" t="s">
        <v>184</v>
      </c>
      <c r="E68" s="401" t="str">
        <f t="shared" si="3"/>
        <v>Вознаграждение по итогам года</v>
      </c>
      <c r="J68" s="381"/>
    </row>
    <row r="69" spans="1:10" ht="12.75" outlineLevel="1">
      <c r="A69" s="362">
        <f t="shared" si="2"/>
        <v>20</v>
      </c>
      <c r="B69" s="726" t="s">
        <v>7</v>
      </c>
      <c r="C69" s="363"/>
      <c r="D69" s="401" t="s">
        <v>73</v>
      </c>
      <c r="E69" s="401" t="str">
        <f t="shared" si="3"/>
        <v>Сдельная оплата труда</v>
      </c>
      <c r="J69" s="381"/>
    </row>
    <row r="70" spans="1:10" ht="12.75" collapsed="1">
      <c r="A70" s="362">
        <f t="shared" si="2"/>
        <v>21</v>
      </c>
      <c r="B70" s="726" t="s">
        <v>312</v>
      </c>
      <c r="C70" s="363"/>
      <c r="D70" s="398" t="s">
        <v>244</v>
      </c>
      <c r="E70" s="398" t="str">
        <f t="shared" si="3"/>
        <v>Единый социальный налог</v>
      </c>
      <c r="J70" s="381"/>
    </row>
    <row r="71" spans="1:10" s="359" customFormat="1" ht="12.75" hidden="1" outlineLevel="1">
      <c r="A71" s="362">
        <f t="shared" si="2"/>
        <v>22</v>
      </c>
      <c r="B71" s="726" t="s">
        <v>313</v>
      </c>
      <c r="C71" s="461"/>
      <c r="D71" s="401" t="s">
        <v>245</v>
      </c>
      <c r="E71" s="401" t="str">
        <f t="shared" si="3"/>
        <v>Пенсионный фонд</v>
      </c>
      <c r="F71" s="392"/>
      <c r="J71" s="380"/>
    </row>
    <row r="72" spans="1:10" s="359" customFormat="1" ht="12.75" hidden="1" outlineLevel="1">
      <c r="A72" s="362">
        <f t="shared" si="2"/>
        <v>23</v>
      </c>
      <c r="B72" s="726" t="s">
        <v>314</v>
      </c>
      <c r="C72" s="461"/>
      <c r="D72" s="401" t="s">
        <v>247</v>
      </c>
      <c r="E72" s="401" t="str">
        <f t="shared" si="3"/>
        <v>Фонд социального страхования</v>
      </c>
      <c r="F72" s="392"/>
      <c r="J72" s="380"/>
    </row>
    <row r="73" spans="1:10" s="359" customFormat="1" ht="12.75" hidden="1" outlineLevel="1">
      <c r="A73" s="362">
        <f t="shared" si="2"/>
        <v>24</v>
      </c>
      <c r="B73" s="726" t="s">
        <v>315</v>
      </c>
      <c r="C73" s="461"/>
      <c r="D73" s="401" t="s">
        <v>124</v>
      </c>
      <c r="E73" s="401" t="str">
        <f t="shared" si="3"/>
        <v>Фед. фонд обязат. мед. страхования</v>
      </c>
      <c r="F73" s="392"/>
      <c r="J73" s="380"/>
    </row>
    <row r="74" spans="1:10" s="359" customFormat="1" ht="12.75" hidden="1" outlineLevel="1">
      <c r="A74" s="362">
        <f t="shared" si="2"/>
        <v>25</v>
      </c>
      <c r="B74" s="726" t="s">
        <v>316</v>
      </c>
      <c r="C74" s="461"/>
      <c r="D74" s="401" t="s">
        <v>123</v>
      </c>
      <c r="E74" s="401" t="str">
        <f t="shared" si="3"/>
        <v>Терр. фонд обязат. мед. страхования</v>
      </c>
      <c r="F74" s="392"/>
      <c r="J74" s="380"/>
    </row>
    <row r="75" spans="1:10" ht="12.75">
      <c r="A75" s="362">
        <f t="shared" si="2"/>
        <v>26</v>
      </c>
      <c r="B75" s="726" t="s">
        <v>317</v>
      </c>
      <c r="C75" s="363"/>
      <c r="D75" s="398" t="s">
        <v>222</v>
      </c>
      <c r="E75" s="398" t="str">
        <f t="shared" si="3"/>
        <v>Услуги сторонних организаций</v>
      </c>
      <c r="F75" s="362"/>
      <c r="J75" s="381"/>
    </row>
    <row r="76" spans="1:10" ht="12.75" outlineLevel="1">
      <c r="A76" s="362">
        <f t="shared" si="2"/>
        <v>27</v>
      </c>
      <c r="B76" s="726" t="s">
        <v>318</v>
      </c>
      <c r="C76" s="363"/>
      <c r="D76" s="400" t="s">
        <v>221</v>
      </c>
      <c r="E76" s="400" t="str">
        <f>D76</f>
        <v>Аренда зданий и помещений</v>
      </c>
      <c r="F76" s="362"/>
      <c r="J76" s="381"/>
    </row>
    <row r="77" spans="1:10" ht="12.75" outlineLevel="1">
      <c r="A77" s="362">
        <f t="shared" si="2"/>
        <v>28</v>
      </c>
      <c r="B77" s="726" t="s">
        <v>319</v>
      </c>
      <c r="C77" s="363"/>
      <c r="D77" s="401" t="s">
        <v>517</v>
      </c>
      <c r="E77" s="400" t="str">
        <f t="shared" si="3"/>
        <v>Услуги по ремонту транспортных средств</v>
      </c>
      <c r="F77" s="362"/>
      <c r="J77" s="381"/>
    </row>
    <row r="78" spans="1:10" ht="12.75" outlineLevel="1">
      <c r="A78" s="362">
        <f t="shared" si="2"/>
        <v>29</v>
      </c>
      <c r="B78" s="726" t="s">
        <v>558</v>
      </c>
      <c r="C78" s="363"/>
      <c r="D78" s="401" t="s">
        <v>516</v>
      </c>
      <c r="E78" s="400" t="str">
        <f t="shared" si="3"/>
        <v>Услуги по ремонту зданий и сооружений</v>
      </c>
      <c r="F78" s="362"/>
      <c r="J78" s="381"/>
    </row>
    <row r="79" spans="1:10" s="359" customFormat="1" ht="12.75" outlineLevel="1">
      <c r="A79" s="344">
        <f t="shared" si="2"/>
        <v>30</v>
      </c>
      <c r="B79" s="726" t="s">
        <v>559</v>
      </c>
      <c r="C79" s="461"/>
      <c r="D79" s="401" t="s">
        <v>74</v>
      </c>
      <c r="E79" s="401" t="str">
        <f t="shared" si="3"/>
        <v>Услуги по охране  </v>
      </c>
      <c r="F79" s="344"/>
      <c r="J79" s="380"/>
    </row>
    <row r="80" spans="1:10" ht="12.75" outlineLevel="1">
      <c r="A80" s="344">
        <f t="shared" si="2"/>
        <v>31</v>
      </c>
      <c r="B80" s="726" t="s">
        <v>560</v>
      </c>
      <c r="C80" s="363"/>
      <c r="D80" s="401" t="s">
        <v>518</v>
      </c>
      <c r="E80" s="400" t="str">
        <f t="shared" si="3"/>
        <v>Услуги по ремонту и обслуж. компьютерной и офисной техники</v>
      </c>
      <c r="F80" s="362"/>
      <c r="J80" s="381"/>
    </row>
    <row r="81" spans="1:10" ht="12.75" outlineLevel="1" collapsed="1">
      <c r="A81" s="344">
        <f t="shared" si="2"/>
        <v>32</v>
      </c>
      <c r="B81" s="726" t="s">
        <v>561</v>
      </c>
      <c r="C81" s="363"/>
      <c r="D81" s="401" t="s">
        <v>189</v>
      </c>
      <c r="E81" s="401" t="str">
        <f t="shared" si="3"/>
        <v>Услуги связи</v>
      </c>
      <c r="F81" s="362"/>
      <c r="J81" s="381"/>
    </row>
    <row r="82" spans="1:10" ht="12.75" hidden="1" outlineLevel="2">
      <c r="A82" s="344">
        <f t="shared" si="2"/>
        <v>33</v>
      </c>
      <c r="B82" s="726" t="s">
        <v>562</v>
      </c>
      <c r="C82" s="363"/>
      <c r="D82" s="402" t="s">
        <v>190</v>
      </c>
      <c r="E82" s="402" t="str">
        <f t="shared" si="3"/>
        <v>связь мобильная</v>
      </c>
      <c r="F82" s="362"/>
      <c r="J82" s="381"/>
    </row>
    <row r="83" spans="1:10" ht="12.75" hidden="1" outlineLevel="2">
      <c r="A83" s="344">
        <f t="shared" si="2"/>
        <v>34</v>
      </c>
      <c r="B83" s="726" t="s">
        <v>563</v>
      </c>
      <c r="C83" s="363"/>
      <c r="D83" s="402" t="s">
        <v>191</v>
      </c>
      <c r="E83" s="402" t="str">
        <f t="shared" si="3"/>
        <v>связь стационарная</v>
      </c>
      <c r="F83" s="362"/>
      <c r="J83" s="381"/>
    </row>
    <row r="84" spans="1:10" ht="12.75" hidden="1" outlineLevel="2">
      <c r="A84" s="344">
        <f t="shared" si="2"/>
        <v>35</v>
      </c>
      <c r="B84" s="726" t="s">
        <v>564</v>
      </c>
      <c r="C84" s="363"/>
      <c r="D84" s="402" t="s">
        <v>250</v>
      </c>
      <c r="E84" s="402" t="str">
        <f t="shared" si="3"/>
        <v>интернет</v>
      </c>
      <c r="F84" s="362"/>
      <c r="J84" s="381"/>
    </row>
    <row r="85" spans="1:10" ht="12.75" outlineLevel="1">
      <c r="A85" s="344">
        <f t="shared" si="2"/>
        <v>36</v>
      </c>
      <c r="B85" s="726" t="s">
        <v>565</v>
      </c>
      <c r="C85" s="363"/>
      <c r="D85" s="400" t="s">
        <v>192</v>
      </c>
      <c r="E85" s="400" t="str">
        <f t="shared" si="3"/>
        <v>Коммунальные услуги</v>
      </c>
      <c r="F85" s="362"/>
      <c r="J85" s="381"/>
    </row>
    <row r="86" spans="1:10" ht="12.75" outlineLevel="1">
      <c r="A86" s="344">
        <f t="shared" si="2"/>
        <v>37</v>
      </c>
      <c r="B86" s="726" t="s">
        <v>566</v>
      </c>
      <c r="C86" s="363"/>
      <c r="D86" s="400" t="s">
        <v>193</v>
      </c>
      <c r="E86" s="400" t="str">
        <f t="shared" si="3"/>
        <v>Аудиторские услуги</v>
      </c>
      <c r="F86" s="362"/>
      <c r="J86" s="381"/>
    </row>
    <row r="87" spans="1:10" ht="12.75" outlineLevel="1">
      <c r="A87" s="362">
        <f t="shared" si="2"/>
        <v>38</v>
      </c>
      <c r="B87" s="726" t="s">
        <v>567</v>
      </c>
      <c r="C87" s="363"/>
      <c r="D87" s="400" t="s">
        <v>194</v>
      </c>
      <c r="E87" s="400" t="str">
        <f t="shared" si="3"/>
        <v>Юридические услуги</v>
      </c>
      <c r="F87" s="362"/>
      <c r="J87" s="381"/>
    </row>
    <row r="88" spans="1:10" ht="12.75" outlineLevel="1">
      <c r="A88" s="362">
        <f t="shared" si="2"/>
        <v>39</v>
      </c>
      <c r="B88" s="726" t="s">
        <v>568</v>
      </c>
      <c r="C88" s="363"/>
      <c r="D88" s="400" t="s">
        <v>657</v>
      </c>
      <c r="E88" s="400" t="str">
        <f t="shared" si="3"/>
        <v>Услуги пот продвижению и рекламе продукции</v>
      </c>
      <c r="F88" s="362"/>
      <c r="J88" s="381"/>
    </row>
    <row r="89" spans="1:10" ht="12.75" outlineLevel="1">
      <c r="A89" s="362">
        <f t="shared" si="2"/>
        <v>40</v>
      </c>
      <c r="B89" s="726" t="s">
        <v>569</v>
      </c>
      <c r="C89" s="363"/>
      <c r="D89" s="400" t="s">
        <v>195</v>
      </c>
      <c r="E89" s="400" t="str">
        <f t="shared" si="3"/>
        <v>Консультационные услуги</v>
      </c>
      <c r="F89" s="362"/>
      <c r="J89" s="381"/>
    </row>
    <row r="90" spans="1:10" ht="12.75" outlineLevel="1">
      <c r="A90" s="362">
        <f t="shared" si="2"/>
        <v>41</v>
      </c>
      <c r="B90" s="726" t="s">
        <v>570</v>
      </c>
      <c r="C90" s="363"/>
      <c r="D90" s="400" t="s">
        <v>196</v>
      </c>
      <c r="E90" s="400" t="str">
        <f t="shared" si="3"/>
        <v>Услуги банка</v>
      </c>
      <c r="F90" s="362"/>
      <c r="J90" s="381"/>
    </row>
    <row r="91" spans="1:10" ht="12.75" outlineLevel="1">
      <c r="A91" s="362">
        <f t="shared" si="2"/>
        <v>42</v>
      </c>
      <c r="B91" s="726" t="s">
        <v>571</v>
      </c>
      <c r="C91" s="363"/>
      <c r="D91" s="400" t="s">
        <v>185</v>
      </c>
      <c r="E91" s="400" t="str">
        <f>D91</f>
        <v>Услуги почты</v>
      </c>
      <c r="F91" s="362"/>
      <c r="J91" s="381"/>
    </row>
    <row r="92" spans="1:10" ht="12.75" outlineLevel="1">
      <c r="A92" s="362">
        <f t="shared" si="2"/>
        <v>43</v>
      </c>
      <c r="B92" s="726" t="s">
        <v>572</v>
      </c>
      <c r="C92" s="363"/>
      <c r="D92" s="400" t="s">
        <v>519</v>
      </c>
      <c r="E92" s="400" t="str">
        <f>D92</f>
        <v>Услуги по по таможенному оформлению </v>
      </c>
      <c r="F92" s="362"/>
      <c r="J92" s="381"/>
    </row>
    <row r="93" spans="1:10" ht="12.75" outlineLevel="1">
      <c r="A93" s="362">
        <f t="shared" si="2"/>
        <v>44</v>
      </c>
      <c r="B93" s="726" t="s">
        <v>573</v>
      </c>
      <c r="C93" s="363"/>
      <c r="D93" s="400" t="s">
        <v>706</v>
      </c>
      <c r="E93" s="400" t="str">
        <f>D93</f>
        <v>Транспортные услуги</v>
      </c>
      <c r="F93" s="362"/>
      <c r="J93" s="381"/>
    </row>
    <row r="94" spans="1:10" ht="12.75" outlineLevel="1">
      <c r="A94" s="362">
        <f t="shared" si="2"/>
        <v>45</v>
      </c>
      <c r="B94" s="726" t="s">
        <v>705</v>
      </c>
      <c r="C94" s="363"/>
      <c r="D94" s="400" t="s">
        <v>786</v>
      </c>
      <c r="E94" s="400" t="str">
        <f>D94</f>
        <v>Роялти</v>
      </c>
      <c r="F94" s="362"/>
      <c r="J94" s="381"/>
    </row>
    <row r="95" spans="1:10" ht="12.75" outlineLevel="1">
      <c r="A95" s="362">
        <f t="shared" si="2"/>
        <v>46</v>
      </c>
      <c r="B95" s="726" t="s">
        <v>785</v>
      </c>
      <c r="C95" s="363"/>
      <c r="D95" s="400" t="s">
        <v>9</v>
      </c>
      <c r="E95" s="400" t="str">
        <f t="shared" si="3"/>
        <v>Прочие услуги </v>
      </c>
      <c r="F95" s="362"/>
      <c r="J95" s="381"/>
    </row>
    <row r="96" spans="1:10" ht="12.75" collapsed="1">
      <c r="A96" s="362">
        <f t="shared" si="2"/>
        <v>47</v>
      </c>
      <c r="B96" s="726" t="s">
        <v>320</v>
      </c>
      <c r="C96" s="363"/>
      <c r="D96" s="398" t="s">
        <v>168</v>
      </c>
      <c r="E96" s="398"/>
      <c r="F96" s="362"/>
      <c r="J96" s="381"/>
    </row>
    <row r="97" spans="1:10" ht="12.75" hidden="1" outlineLevel="1">
      <c r="A97" s="362">
        <f t="shared" si="2"/>
        <v>48</v>
      </c>
      <c r="B97" s="726" t="s">
        <v>321</v>
      </c>
      <c r="C97" s="363"/>
      <c r="D97" s="400" t="s">
        <v>555</v>
      </c>
      <c r="E97" s="400"/>
      <c r="F97" s="362"/>
      <c r="J97" s="381"/>
    </row>
    <row r="98" spans="1:10" ht="12.75" hidden="1" outlineLevel="1">
      <c r="A98" s="362">
        <f t="shared" si="2"/>
        <v>49</v>
      </c>
      <c r="B98" s="726" t="s">
        <v>322</v>
      </c>
      <c r="C98" s="363"/>
      <c r="D98" s="400" t="s">
        <v>520</v>
      </c>
      <c r="E98" s="400"/>
      <c r="F98" s="362"/>
      <c r="J98" s="381"/>
    </row>
    <row r="99" spans="1:10" ht="12.75">
      <c r="A99" s="362">
        <f t="shared" si="2"/>
        <v>50</v>
      </c>
      <c r="B99" s="726" t="s">
        <v>103</v>
      </c>
      <c r="C99" s="363"/>
      <c r="D99" s="398" t="s">
        <v>205</v>
      </c>
      <c r="E99" s="1069" t="str">
        <f aca="true" t="shared" si="4" ref="E99:E110">D99</f>
        <v>Налоги и сборы</v>
      </c>
      <c r="F99" s="362"/>
      <c r="J99" s="381"/>
    </row>
    <row r="100" spans="1:10" ht="12.75" outlineLevel="1">
      <c r="A100" s="362">
        <f t="shared" si="2"/>
        <v>51</v>
      </c>
      <c r="B100" s="726" t="s">
        <v>104</v>
      </c>
      <c r="C100" s="363"/>
      <c r="D100" s="400"/>
      <c r="E100" s="400" t="s">
        <v>207</v>
      </c>
      <c r="F100" s="362"/>
      <c r="J100" s="381"/>
    </row>
    <row r="101" spans="1:10" ht="12.75" outlineLevel="1">
      <c r="A101" s="362">
        <f t="shared" si="2"/>
        <v>52</v>
      </c>
      <c r="B101" s="726" t="s">
        <v>105</v>
      </c>
      <c r="C101" s="363"/>
      <c r="D101" s="400" t="s">
        <v>138</v>
      </c>
      <c r="E101" s="1070" t="str">
        <f t="shared" si="4"/>
        <v>Налог на прибыль</v>
      </c>
      <c r="F101" s="362"/>
      <c r="J101" s="381"/>
    </row>
    <row r="102" spans="1:10" ht="12.75" outlineLevel="1">
      <c r="A102" s="362">
        <f t="shared" si="2"/>
        <v>53</v>
      </c>
      <c r="B102" s="726" t="s">
        <v>106</v>
      </c>
      <c r="C102" s="363"/>
      <c r="D102" s="400" t="s">
        <v>526</v>
      </c>
      <c r="E102" s="1070" t="str">
        <f t="shared" si="4"/>
        <v>Налог на добавленную стоимость</v>
      </c>
      <c r="F102" s="362"/>
      <c r="J102" s="381"/>
    </row>
    <row r="103" spans="1:10" ht="12.75" outlineLevel="1">
      <c r="A103" s="362">
        <f t="shared" si="2"/>
        <v>54</v>
      </c>
      <c r="B103" s="726" t="s">
        <v>521</v>
      </c>
      <c r="C103" s="363"/>
      <c r="D103" s="400" t="s">
        <v>208</v>
      </c>
      <c r="E103" s="1070" t="str">
        <f t="shared" si="4"/>
        <v>Налог на имущество</v>
      </c>
      <c r="F103" s="362"/>
      <c r="J103" s="381"/>
    </row>
    <row r="104" spans="1:10" ht="12.75" outlineLevel="1">
      <c r="A104" s="362">
        <f t="shared" si="2"/>
        <v>55</v>
      </c>
      <c r="B104" s="726" t="s">
        <v>522</v>
      </c>
      <c r="C104" s="363"/>
      <c r="D104" s="400" t="s">
        <v>209</v>
      </c>
      <c r="E104" s="1070" t="str">
        <f t="shared" si="4"/>
        <v>Налог с владельцев транспортных средств</v>
      </c>
      <c r="F104" s="362"/>
      <c r="J104" s="381"/>
    </row>
    <row r="105" spans="1:10" ht="12.75" outlineLevel="1">
      <c r="A105" s="362">
        <f t="shared" si="2"/>
        <v>56</v>
      </c>
      <c r="B105" s="726" t="s">
        <v>523</v>
      </c>
      <c r="C105" s="363"/>
      <c r="D105" s="400" t="s">
        <v>210</v>
      </c>
      <c r="E105" s="1070" t="str">
        <f t="shared" si="4"/>
        <v>Налог на рекламу</v>
      </c>
      <c r="F105" s="362"/>
      <c r="J105" s="381"/>
    </row>
    <row r="106" spans="1:10" ht="12.75" outlineLevel="1">
      <c r="A106" s="362">
        <f t="shared" si="2"/>
        <v>57</v>
      </c>
      <c r="B106" s="726" t="s">
        <v>574</v>
      </c>
      <c r="C106" s="363"/>
      <c r="D106" s="400" t="s">
        <v>211</v>
      </c>
      <c r="E106" s="400" t="s">
        <v>211</v>
      </c>
      <c r="F106" s="362"/>
      <c r="J106" s="381"/>
    </row>
    <row r="107" spans="1:10" ht="12.75" outlineLevel="1">
      <c r="A107" s="362">
        <f t="shared" si="2"/>
        <v>58</v>
      </c>
      <c r="B107" s="726" t="s">
        <v>575</v>
      </c>
      <c r="C107" s="363"/>
      <c r="D107" s="400" t="s">
        <v>212</v>
      </c>
      <c r="E107" s="1070" t="str">
        <f t="shared" si="4"/>
        <v>Экспортные пошлины и сборы</v>
      </c>
      <c r="F107" s="362"/>
      <c r="J107" s="381"/>
    </row>
    <row r="108" spans="1:10" ht="12.75" outlineLevel="1">
      <c r="A108" s="362">
        <f t="shared" si="2"/>
        <v>59</v>
      </c>
      <c r="B108" s="726" t="s">
        <v>576</v>
      </c>
      <c r="C108" s="363"/>
      <c r="D108" s="400" t="s">
        <v>527</v>
      </c>
      <c r="E108" s="1070" t="str">
        <f t="shared" si="4"/>
        <v>Государственные пошлины и сборы</v>
      </c>
      <c r="F108" s="362"/>
      <c r="J108" s="381"/>
    </row>
    <row r="109" spans="1:10" ht="12.75" outlineLevel="1">
      <c r="A109" s="362">
        <f t="shared" si="2"/>
        <v>60</v>
      </c>
      <c r="B109" s="726" t="s">
        <v>577</v>
      </c>
      <c r="C109" s="363"/>
      <c r="D109" s="400" t="s">
        <v>528</v>
      </c>
      <c r="E109" s="1070" t="str">
        <f t="shared" si="4"/>
        <v>Экологические  сборы</v>
      </c>
      <c r="F109" s="362"/>
      <c r="J109" s="381"/>
    </row>
    <row r="110" spans="1:10" ht="12.75" outlineLevel="1">
      <c r="A110" s="362">
        <f t="shared" si="2"/>
        <v>61</v>
      </c>
      <c r="B110" s="726" t="s">
        <v>578</v>
      </c>
      <c r="C110" s="363"/>
      <c r="D110" s="400" t="s">
        <v>213</v>
      </c>
      <c r="E110" s="1070" t="str">
        <f t="shared" si="4"/>
        <v>Прочие налоги и сборы</v>
      </c>
      <c r="F110" s="362"/>
      <c r="J110" s="381"/>
    </row>
    <row r="111" spans="1:10" ht="12.75">
      <c r="A111" s="362">
        <f t="shared" si="2"/>
        <v>62</v>
      </c>
      <c r="B111" s="726" t="s">
        <v>107</v>
      </c>
      <c r="C111" s="363"/>
      <c r="D111" s="398" t="s">
        <v>214</v>
      </c>
      <c r="E111" s="398" t="str">
        <f>D111</f>
        <v>Расходы на финансирование</v>
      </c>
      <c r="F111" s="362"/>
      <c r="J111" s="381"/>
    </row>
    <row r="112" spans="1:10" ht="12.75" outlineLevel="1">
      <c r="A112" s="362">
        <f t="shared" si="2"/>
        <v>63</v>
      </c>
      <c r="B112" s="726" t="s">
        <v>108</v>
      </c>
      <c r="C112" s="363"/>
      <c r="D112" s="400" t="s">
        <v>462</v>
      </c>
      <c r="E112" s="400" t="s">
        <v>465</v>
      </c>
      <c r="F112" s="362"/>
      <c r="J112" s="381"/>
    </row>
    <row r="113" spans="1:10" ht="12.75" outlineLevel="1">
      <c r="A113" s="362">
        <f t="shared" si="2"/>
        <v>64</v>
      </c>
      <c r="B113" s="726" t="s">
        <v>109</v>
      </c>
      <c r="C113" s="363"/>
      <c r="D113" s="400" t="s">
        <v>461</v>
      </c>
      <c r="E113" s="400" t="s">
        <v>464</v>
      </c>
      <c r="F113" s="362"/>
      <c r="J113" s="381"/>
    </row>
    <row r="114" spans="1:10" ht="12.75" outlineLevel="1">
      <c r="A114" s="362">
        <f t="shared" si="2"/>
        <v>65</v>
      </c>
      <c r="B114" s="726" t="s">
        <v>525</v>
      </c>
      <c r="C114" s="363"/>
      <c r="D114" s="400" t="s">
        <v>463</v>
      </c>
      <c r="E114" s="400" t="s">
        <v>466</v>
      </c>
      <c r="F114" s="362"/>
      <c r="J114" s="381"/>
    </row>
    <row r="115" spans="1:10" ht="12.75">
      <c r="A115" s="362">
        <f t="shared" si="2"/>
        <v>66</v>
      </c>
      <c r="B115" s="726" t="s">
        <v>110</v>
      </c>
      <c r="C115" s="363"/>
      <c r="D115" s="590" t="s">
        <v>529</v>
      </c>
      <c r="E115" s="590" t="str">
        <f aca="true" t="shared" si="5" ref="E115:E133">D115</f>
        <v>Социальные расходы и расходы на развитие персонала</v>
      </c>
      <c r="F115" s="362"/>
      <c r="J115" s="381"/>
    </row>
    <row r="116" spans="1:10" ht="12.75" outlineLevel="1">
      <c r="A116" s="362">
        <f t="shared" si="2"/>
        <v>67</v>
      </c>
      <c r="B116" s="726" t="s">
        <v>111</v>
      </c>
      <c r="C116" s="363"/>
      <c r="D116" s="591" t="s">
        <v>331</v>
      </c>
      <c r="E116" s="591" t="str">
        <f t="shared" si="5"/>
        <v>Социальные выплаты и льготы</v>
      </c>
      <c r="F116" s="362"/>
      <c r="J116" s="381"/>
    </row>
    <row r="117" spans="1:10" ht="12.75" outlineLevel="1">
      <c r="A117" s="362">
        <f t="shared" si="2"/>
        <v>68</v>
      </c>
      <c r="B117" s="741" t="s">
        <v>579</v>
      </c>
      <c r="C117" s="363"/>
      <c r="D117" s="592" t="s">
        <v>332</v>
      </c>
      <c r="E117" s="592" t="str">
        <f t="shared" si="5"/>
        <v>медицинская страховка сотрудников</v>
      </c>
      <c r="F117" s="362"/>
      <c r="J117" s="381"/>
    </row>
    <row r="118" spans="1:10" ht="12.75" outlineLevel="1">
      <c r="A118" s="362">
        <f t="shared" si="2"/>
        <v>69</v>
      </c>
      <c r="B118" s="741" t="s">
        <v>580</v>
      </c>
      <c r="C118" s="363"/>
      <c r="D118" s="592" t="s">
        <v>334</v>
      </c>
      <c r="E118" s="592" t="str">
        <f t="shared" si="5"/>
        <v>медицинская страховка членов семьи</v>
      </c>
      <c r="F118" s="362"/>
      <c r="J118" s="381"/>
    </row>
    <row r="119" spans="1:10" ht="12.75" outlineLevel="1">
      <c r="A119" s="362">
        <f t="shared" si="2"/>
        <v>70</v>
      </c>
      <c r="B119" s="741" t="s">
        <v>581</v>
      </c>
      <c r="C119" s="363"/>
      <c r="D119" s="592" t="s">
        <v>335</v>
      </c>
      <c r="E119" s="592" t="str">
        <f t="shared" si="5"/>
        <v>пользование общественным транспортом</v>
      </c>
      <c r="F119" s="362"/>
      <c r="J119" s="381"/>
    </row>
    <row r="120" spans="1:10" ht="12.75" outlineLevel="1">
      <c r="A120" s="362">
        <f t="shared" si="2"/>
        <v>71</v>
      </c>
      <c r="B120" s="741" t="s">
        <v>582</v>
      </c>
      <c r="C120" s="363"/>
      <c r="D120" s="592" t="s">
        <v>336</v>
      </c>
      <c r="E120" s="592" t="str">
        <f t="shared" si="5"/>
        <v>оплата питания</v>
      </c>
      <c r="F120" s="362"/>
      <c r="J120" s="381"/>
    </row>
    <row r="121" spans="1:10" ht="12.75" outlineLevel="1">
      <c r="A121" s="362">
        <f t="shared" si="2"/>
        <v>72</v>
      </c>
      <c r="B121" s="741" t="s">
        <v>583</v>
      </c>
      <c r="C121" s="363"/>
      <c r="D121" s="592" t="s">
        <v>337</v>
      </c>
      <c r="E121" s="592" t="str">
        <f t="shared" si="5"/>
        <v>материальная помощь к отпуску</v>
      </c>
      <c r="F121" s="362"/>
      <c r="J121" s="381"/>
    </row>
    <row r="122" spans="1:10" ht="12.75" outlineLevel="1">
      <c r="A122" s="362">
        <f t="shared" si="2"/>
        <v>73</v>
      </c>
      <c r="B122" s="741" t="s">
        <v>112</v>
      </c>
      <c r="C122" s="363"/>
      <c r="D122" s="331" t="s">
        <v>338</v>
      </c>
      <c r="E122" s="331" t="str">
        <f t="shared" si="5"/>
        <v>Корпоративные мероприятия</v>
      </c>
      <c r="F122" s="362"/>
      <c r="J122" s="381"/>
    </row>
    <row r="123" spans="1:10" ht="12.75" outlineLevel="1">
      <c r="A123" s="362">
        <f t="shared" si="2"/>
        <v>74</v>
      </c>
      <c r="B123" s="741" t="s">
        <v>584</v>
      </c>
      <c r="C123" s="363"/>
      <c r="D123" s="592" t="s">
        <v>339</v>
      </c>
      <c r="E123" s="592" t="str">
        <f t="shared" si="5"/>
        <v>дни рождения</v>
      </c>
      <c r="F123" s="362"/>
      <c r="J123" s="381"/>
    </row>
    <row r="124" spans="1:10" ht="12.75" outlineLevel="1">
      <c r="A124" s="362">
        <f t="shared" si="2"/>
        <v>75</v>
      </c>
      <c r="B124" s="741" t="s">
        <v>585</v>
      </c>
      <c r="C124" s="363"/>
      <c r="D124" s="592" t="s">
        <v>340</v>
      </c>
      <c r="E124" s="592" t="str">
        <f t="shared" si="5"/>
        <v>юбилеи</v>
      </c>
      <c r="F124" s="362"/>
      <c r="J124" s="381"/>
    </row>
    <row r="125" spans="1:10" ht="12.75" outlineLevel="1">
      <c r="A125" s="362">
        <f t="shared" si="2"/>
        <v>76</v>
      </c>
      <c r="B125" s="741" t="s">
        <v>586</v>
      </c>
      <c r="C125" s="363"/>
      <c r="D125" s="592" t="s">
        <v>341</v>
      </c>
      <c r="E125" s="592" t="str">
        <f t="shared" si="5"/>
        <v>корпоративные праздники</v>
      </c>
      <c r="F125" s="362"/>
      <c r="J125" s="381"/>
    </row>
    <row r="126" spans="1:10" ht="12.75" outlineLevel="1">
      <c r="A126" s="362">
        <f t="shared" si="2"/>
        <v>77</v>
      </c>
      <c r="B126" s="741" t="s">
        <v>113</v>
      </c>
      <c r="C126" s="363"/>
      <c r="D126" s="331" t="s">
        <v>342</v>
      </c>
      <c r="E126" s="331" t="str">
        <f t="shared" si="5"/>
        <v>Обучение и развитие персонала</v>
      </c>
      <c r="F126" s="362"/>
      <c r="J126" s="381"/>
    </row>
    <row r="127" spans="1:10" ht="12.75" outlineLevel="1">
      <c r="A127" s="362">
        <f t="shared" si="2"/>
        <v>78</v>
      </c>
      <c r="B127" s="741" t="s">
        <v>587</v>
      </c>
      <c r="C127" s="363"/>
      <c r="D127" s="592" t="s">
        <v>343</v>
      </c>
      <c r="E127" s="592" t="str">
        <f t="shared" si="5"/>
        <v>обучение в ВУЗах</v>
      </c>
      <c r="F127" s="362"/>
      <c r="J127" s="381"/>
    </row>
    <row r="128" spans="1:10" ht="12.75" outlineLevel="1">
      <c r="A128" s="362">
        <f t="shared" si="2"/>
        <v>79</v>
      </c>
      <c r="B128" s="741" t="s">
        <v>588</v>
      </c>
      <c r="C128" s="363"/>
      <c r="D128" s="592" t="s">
        <v>344</v>
      </c>
      <c r="E128" s="592" t="str">
        <f t="shared" si="5"/>
        <v>тренинги</v>
      </c>
      <c r="F128" s="362"/>
      <c r="J128" s="381"/>
    </row>
    <row r="129" spans="1:10" ht="12.75" outlineLevel="1">
      <c r="A129" s="362">
        <f t="shared" si="2"/>
        <v>80</v>
      </c>
      <c r="B129" s="741" t="s">
        <v>589</v>
      </c>
      <c r="C129" s="363"/>
      <c r="D129" s="592" t="s">
        <v>345</v>
      </c>
      <c r="E129" s="592" t="str">
        <f t="shared" si="5"/>
        <v>семинары</v>
      </c>
      <c r="F129" s="362"/>
      <c r="J129" s="381"/>
    </row>
    <row r="130" spans="1:10" ht="12.75" outlineLevel="1">
      <c r="A130" s="362">
        <f t="shared" si="2"/>
        <v>81</v>
      </c>
      <c r="B130" s="741" t="s">
        <v>590</v>
      </c>
      <c r="C130" s="363"/>
      <c r="D130" s="592" t="s">
        <v>346</v>
      </c>
      <c r="E130" s="592" t="str">
        <f t="shared" si="5"/>
        <v>курсы повышения квалификации</v>
      </c>
      <c r="F130" s="362"/>
      <c r="J130" s="381"/>
    </row>
    <row r="131" spans="1:10" ht="12.75" outlineLevel="1">
      <c r="A131" s="362">
        <f t="shared" si="2"/>
        <v>82</v>
      </c>
      <c r="B131" s="741" t="s">
        <v>114</v>
      </c>
      <c r="C131" s="363"/>
      <c r="D131" s="331" t="s">
        <v>347</v>
      </c>
      <c r="E131" s="331" t="str">
        <f t="shared" si="5"/>
        <v>Прочие расходы на персонал</v>
      </c>
      <c r="F131" s="362"/>
      <c r="J131" s="381"/>
    </row>
    <row r="132" spans="1:10" ht="12.75" outlineLevel="1">
      <c r="A132" s="362">
        <f t="shared" si="2"/>
        <v>83</v>
      </c>
      <c r="B132" s="741" t="s">
        <v>591</v>
      </c>
      <c r="C132" s="363"/>
      <c r="D132" s="592" t="s">
        <v>348</v>
      </c>
      <c r="E132" s="592" t="str">
        <f t="shared" si="5"/>
        <v>привлечение, увольнение, ротация персонала</v>
      </c>
      <c r="F132" s="362"/>
      <c r="J132" s="381"/>
    </row>
    <row r="133" spans="1:10" ht="12.75" collapsed="1">
      <c r="A133" s="362">
        <f t="shared" si="2"/>
        <v>84</v>
      </c>
      <c r="B133" s="726" t="s">
        <v>115</v>
      </c>
      <c r="C133" s="363"/>
      <c r="D133" s="398" t="s">
        <v>198</v>
      </c>
      <c r="E133" s="727" t="str">
        <f t="shared" si="5"/>
        <v>Прочие расходы</v>
      </c>
      <c r="F133" s="362"/>
      <c r="J133" s="381"/>
    </row>
    <row r="134" spans="1:10" ht="12.75" hidden="1" outlineLevel="1">
      <c r="A134" s="362">
        <f t="shared" si="2"/>
        <v>85</v>
      </c>
      <c r="B134" s="726" t="s">
        <v>116</v>
      </c>
      <c r="C134" s="363"/>
      <c r="D134" s="400" t="s">
        <v>199</v>
      </c>
      <c r="E134" s="591" t="str">
        <f>D134</f>
        <v>Судебные расходы и арбитражные сборы</v>
      </c>
      <c r="F134" s="362"/>
      <c r="J134" s="381"/>
    </row>
    <row r="135" spans="1:10" ht="12.75" hidden="1" outlineLevel="1">
      <c r="A135" s="362">
        <f t="shared" si="2"/>
        <v>86</v>
      </c>
      <c r="B135" s="726" t="s">
        <v>118</v>
      </c>
      <c r="C135" s="363"/>
      <c r="D135" s="400" t="s">
        <v>200</v>
      </c>
      <c r="E135" s="591" t="str">
        <f>D135</f>
        <v>Командировочные расходы</v>
      </c>
      <c r="F135" s="362"/>
      <c r="J135" s="381"/>
    </row>
    <row r="136" spans="1:10" ht="12.75" hidden="1" outlineLevel="1">
      <c r="A136" s="362">
        <f t="shared" si="2"/>
        <v>87</v>
      </c>
      <c r="B136" s="726" t="s">
        <v>119</v>
      </c>
      <c r="C136" s="363"/>
      <c r="D136" s="400" t="s">
        <v>201</v>
      </c>
      <c r="E136" s="591" t="str">
        <f aca="true" t="shared" si="6" ref="E136:E143">D136</f>
        <v>Представительские расходы</v>
      </c>
      <c r="F136" s="362"/>
      <c r="J136" s="381"/>
    </row>
    <row r="137" spans="1:10" ht="12.75" hidden="1" outlineLevel="1">
      <c r="A137" s="362">
        <f t="shared" si="2"/>
        <v>88</v>
      </c>
      <c r="B137" s="726" t="s">
        <v>120</v>
      </c>
      <c r="C137" s="363"/>
      <c r="D137" s="400" t="s">
        <v>202</v>
      </c>
      <c r="E137" s="591" t="str">
        <f t="shared" si="6"/>
        <v>Абонентская плата за поддержку ИС</v>
      </c>
      <c r="F137" s="362"/>
      <c r="J137" s="381"/>
    </row>
    <row r="138" spans="1:10" ht="12.75" hidden="1" outlineLevel="1">
      <c r="A138" s="362">
        <f t="shared" si="2"/>
        <v>89</v>
      </c>
      <c r="B138" s="726" t="s">
        <v>121</v>
      </c>
      <c r="C138" s="363"/>
      <c r="D138" s="400" t="s">
        <v>203</v>
      </c>
      <c r="E138" s="591" t="str">
        <f t="shared" si="6"/>
        <v>Компенсация за использование личного транспорта</v>
      </c>
      <c r="F138" s="362"/>
      <c r="J138" s="381"/>
    </row>
    <row r="139" spans="1:10" ht="12.75" hidden="1" outlineLevel="1">
      <c r="A139" s="362">
        <f t="shared" si="2"/>
        <v>90</v>
      </c>
      <c r="B139" s="726" t="s">
        <v>122</v>
      </c>
      <c r="C139" s="363"/>
      <c r="D139" s="400" t="s">
        <v>530</v>
      </c>
      <c r="E139" s="591" t="str">
        <f t="shared" si="6"/>
        <v>Агентские вознаграждения</v>
      </c>
      <c r="F139" s="362"/>
      <c r="J139" s="381"/>
    </row>
    <row r="140" spans="1:10" ht="12.75" hidden="1" outlineLevel="1">
      <c r="A140" s="362">
        <f t="shared" si="2"/>
        <v>91</v>
      </c>
      <c r="B140" s="726" t="s">
        <v>136</v>
      </c>
      <c r="C140" s="363"/>
      <c r="D140" s="400" t="s">
        <v>204</v>
      </c>
      <c r="E140" s="591" t="str">
        <f t="shared" si="6"/>
        <v>Прочие</v>
      </c>
      <c r="F140" s="362"/>
      <c r="J140" s="381"/>
    </row>
    <row r="141" spans="1:10" ht="12.75" collapsed="1">
      <c r="A141" s="362">
        <f t="shared" si="2"/>
        <v>92</v>
      </c>
      <c r="B141" s="726" t="s">
        <v>11</v>
      </c>
      <c r="C141" s="363"/>
      <c r="D141" s="398" t="s">
        <v>13</v>
      </c>
      <c r="E141" s="727" t="str">
        <f t="shared" si="6"/>
        <v>Товары для перепродажи</v>
      </c>
      <c r="F141" s="362"/>
      <c r="J141" s="381"/>
    </row>
    <row r="142" spans="1:10" ht="12.75" hidden="1" outlineLevel="1">
      <c r="A142" s="362">
        <f>A141+1</f>
        <v>93</v>
      </c>
      <c r="B142" s="726" t="s">
        <v>531</v>
      </c>
      <c r="C142" s="363"/>
      <c r="D142" s="401" t="s">
        <v>557</v>
      </c>
      <c r="E142" s="591" t="str">
        <f t="shared" si="6"/>
        <v>"Железо"</v>
      </c>
      <c r="F142" s="362"/>
      <c r="J142" s="381"/>
    </row>
    <row r="143" spans="1:10" ht="12.75" hidden="1" outlineLevel="1">
      <c r="A143" s="362">
        <f>A142+1</f>
        <v>94</v>
      </c>
      <c r="B143" s="726" t="s">
        <v>532</v>
      </c>
      <c r="C143" s="363"/>
      <c r="D143" s="728" t="s">
        <v>512</v>
      </c>
      <c r="E143" s="729" t="str">
        <f t="shared" si="6"/>
        <v>ПО</v>
      </c>
      <c r="F143" s="362"/>
      <c r="J143" s="381"/>
    </row>
    <row r="144" spans="1:10" ht="12.75">
      <c r="A144" s="362"/>
      <c r="B144" s="344"/>
      <c r="C144" s="363"/>
      <c r="D144" s="742"/>
      <c r="E144" s="514"/>
      <c r="F144" s="362"/>
      <c r="J144" s="381"/>
    </row>
    <row r="145" spans="1:10" ht="12.75">
      <c r="A145" s="362"/>
      <c r="B145" s="344"/>
      <c r="C145" s="363"/>
      <c r="D145" s="742"/>
      <c r="E145" s="514"/>
      <c r="F145" s="362"/>
      <c r="J145" s="381"/>
    </row>
    <row r="146" spans="1:10" ht="12.75">
      <c r="A146" s="362"/>
      <c r="B146" s="344"/>
      <c r="C146" s="363"/>
      <c r="D146" s="742"/>
      <c r="E146" s="514"/>
      <c r="F146" s="362"/>
      <c r="J146" s="381"/>
    </row>
    <row r="147" spans="1:10" ht="12.75">
      <c r="A147" s="362"/>
      <c r="B147" s="344"/>
      <c r="C147" s="363"/>
      <c r="D147" s="742"/>
      <c r="E147" s="514"/>
      <c r="F147" s="362"/>
      <c r="J147" s="381"/>
    </row>
    <row r="148" spans="1:10" ht="12.75">
      <c r="A148" s="362"/>
      <c r="B148" s="344"/>
      <c r="C148" s="363"/>
      <c r="D148" s="403"/>
      <c r="E148" s="404"/>
      <c r="F148" s="362"/>
      <c r="J148" s="381"/>
    </row>
    <row r="149" spans="1:5" ht="14.25" customHeight="1">
      <c r="A149" s="1118" t="s">
        <v>284</v>
      </c>
      <c r="B149" s="1118"/>
      <c r="C149" s="1118"/>
      <c r="D149" s="1118"/>
      <c r="E149" s="1118"/>
    </row>
    <row r="150" spans="1:5" ht="14.25" customHeight="1">
      <c r="A150" s="393"/>
      <c r="B150" s="393"/>
      <c r="C150" s="393"/>
      <c r="D150" s="393"/>
      <c r="E150" s="393"/>
    </row>
    <row r="151" spans="1:77" ht="12.75">
      <c r="A151" s="362">
        <v>1</v>
      </c>
      <c r="B151" s="344" t="s">
        <v>480</v>
      </c>
      <c r="D151" s="405" t="s">
        <v>481</v>
      </c>
      <c r="E151" s="624" t="s">
        <v>83</v>
      </c>
      <c r="F151" s="391"/>
      <c r="G151" s="391"/>
      <c r="H151" s="391"/>
      <c r="I151" s="391"/>
      <c r="J151" s="391"/>
      <c r="K151" s="391"/>
      <c r="L151" s="391"/>
      <c r="M151" s="391"/>
      <c r="N151" s="391"/>
      <c r="O151" s="391"/>
      <c r="P151" s="391"/>
      <c r="Q151" s="391"/>
      <c r="R151" s="391"/>
      <c r="S151" s="391"/>
      <c r="T151" s="391"/>
      <c r="U151" s="391"/>
      <c r="V151" s="391"/>
      <c r="W151" s="391"/>
      <c r="X151" s="391"/>
      <c r="Y151" s="391"/>
      <c r="Z151" s="391"/>
      <c r="AA151" s="391"/>
      <c r="AB151" s="391"/>
      <c r="AC151" s="391"/>
      <c r="AD151" s="391"/>
      <c r="AE151" s="391"/>
      <c r="AF151" s="391"/>
      <c r="AG151" s="391"/>
      <c r="AH151" s="391"/>
      <c r="AI151" s="391"/>
      <c r="AJ151" s="391"/>
      <c r="AK151" s="391"/>
      <c r="AL151" s="391"/>
      <c r="AM151" s="391"/>
      <c r="AN151" s="391"/>
      <c r="AO151" s="391"/>
      <c r="AP151" s="391"/>
      <c r="AQ151" s="391"/>
      <c r="AR151" s="391"/>
      <c r="AS151" s="391"/>
      <c r="AT151" s="391"/>
      <c r="AU151" s="391"/>
      <c r="AV151" s="391"/>
      <c r="AW151" s="391"/>
      <c r="AX151" s="391"/>
      <c r="AY151" s="391"/>
      <c r="AZ151" s="391"/>
      <c r="BA151" s="391"/>
      <c r="BB151" s="391"/>
      <c r="BC151" s="391"/>
      <c r="BD151" s="391"/>
      <c r="BE151" s="391"/>
      <c r="BF151" s="391"/>
      <c r="BG151" s="391"/>
      <c r="BH151" s="391"/>
      <c r="BI151" s="391"/>
      <c r="BJ151" s="391"/>
      <c r="BK151" s="391"/>
      <c r="BL151" s="391"/>
      <c r="BM151" s="391"/>
      <c r="BN151" s="391"/>
      <c r="BO151" s="391"/>
      <c r="BP151" s="391"/>
      <c r="BQ151" s="391"/>
      <c r="BR151" s="391"/>
      <c r="BS151" s="391"/>
      <c r="BT151" s="391"/>
      <c r="BU151" s="391"/>
      <c r="BV151" s="391"/>
      <c r="BW151" s="391"/>
      <c r="BX151" s="391"/>
      <c r="BY151" s="391"/>
    </row>
    <row r="152" spans="1:77" s="396" customFormat="1" ht="12.75">
      <c r="A152" s="362">
        <f>A151+1</f>
        <v>2</v>
      </c>
      <c r="B152" s="344" t="s">
        <v>482</v>
      </c>
      <c r="C152" s="344"/>
      <c r="D152" s="406" t="s">
        <v>478</v>
      </c>
      <c r="E152" s="625" t="s">
        <v>86</v>
      </c>
      <c r="F152" s="391"/>
      <c r="G152" s="391"/>
      <c r="H152" s="391"/>
      <c r="I152" s="391"/>
      <c r="J152" s="391"/>
      <c r="K152" s="391"/>
      <c r="L152" s="391"/>
      <c r="M152" s="391"/>
      <c r="N152" s="391"/>
      <c r="O152" s="391"/>
      <c r="P152" s="391"/>
      <c r="Q152" s="391"/>
      <c r="R152" s="391"/>
      <c r="S152" s="391"/>
      <c r="T152" s="391"/>
      <c r="U152" s="391"/>
      <c r="V152" s="391"/>
      <c r="W152" s="391"/>
      <c r="X152" s="391"/>
      <c r="Y152" s="391"/>
      <c r="Z152" s="391"/>
      <c r="AA152" s="391"/>
      <c r="AB152" s="391"/>
      <c r="AC152" s="391"/>
      <c r="AD152" s="391"/>
      <c r="AE152" s="391"/>
      <c r="AF152" s="391"/>
      <c r="AG152" s="391"/>
      <c r="AH152" s="391"/>
      <c r="AI152" s="391"/>
      <c r="AJ152" s="391"/>
      <c r="AK152" s="391"/>
      <c r="AL152" s="391"/>
      <c r="AM152" s="391"/>
      <c r="AN152" s="391"/>
      <c r="AO152" s="391"/>
      <c r="AP152" s="391"/>
      <c r="AQ152" s="391"/>
      <c r="AR152" s="391"/>
      <c r="AS152" s="391"/>
      <c r="AT152" s="391"/>
      <c r="AU152" s="391"/>
      <c r="AV152" s="391"/>
      <c r="AW152" s="391"/>
      <c r="AX152" s="391"/>
      <c r="AY152" s="391"/>
      <c r="AZ152" s="391"/>
      <c r="BA152" s="391"/>
      <c r="BB152" s="391"/>
      <c r="BC152" s="391"/>
      <c r="BD152" s="391"/>
      <c r="BE152" s="391"/>
      <c r="BF152" s="391"/>
      <c r="BG152" s="391"/>
      <c r="BH152" s="391"/>
      <c r="BI152" s="391"/>
      <c r="BJ152" s="391"/>
      <c r="BK152" s="391"/>
      <c r="BL152" s="391"/>
      <c r="BM152" s="391"/>
      <c r="BN152" s="391"/>
      <c r="BO152" s="391"/>
      <c r="BP152" s="391"/>
      <c r="BQ152" s="391"/>
      <c r="BR152" s="391"/>
      <c r="BS152" s="391"/>
      <c r="BT152" s="391"/>
      <c r="BU152" s="391"/>
      <c r="BV152" s="391"/>
      <c r="BW152" s="391"/>
      <c r="BX152" s="391"/>
      <c r="BY152" s="391"/>
    </row>
    <row r="153" spans="1:20" ht="12.75">
      <c r="A153" s="362">
        <f aca="true" t="shared" si="7" ref="A153:A161">A152+1</f>
        <v>3</v>
      </c>
      <c r="B153" s="344" t="s">
        <v>483</v>
      </c>
      <c r="C153" s="344"/>
      <c r="D153" s="332"/>
      <c r="E153" s="626" t="s">
        <v>87</v>
      </c>
      <c r="F153" s="391"/>
      <c r="G153" s="391"/>
      <c r="H153" s="391"/>
      <c r="I153" s="391"/>
      <c r="J153" s="391"/>
      <c r="K153" s="391"/>
      <c r="L153" s="391"/>
      <c r="M153" s="391"/>
      <c r="N153" s="391"/>
      <c r="O153" s="391"/>
      <c r="P153" s="391"/>
      <c r="Q153" s="391"/>
      <c r="R153" s="391"/>
      <c r="S153" s="391"/>
      <c r="T153" s="391"/>
    </row>
    <row r="154" spans="1:20" ht="12.75">
      <c r="A154" s="362">
        <f t="shared" si="7"/>
        <v>4</v>
      </c>
      <c r="B154" s="344" t="s">
        <v>352</v>
      </c>
      <c r="C154" s="344"/>
      <c r="D154" s="332"/>
      <c r="E154" s="626" t="s">
        <v>88</v>
      </c>
      <c r="F154" s="391"/>
      <c r="G154" s="391"/>
      <c r="H154" s="391"/>
      <c r="I154" s="391"/>
      <c r="J154" s="391"/>
      <c r="K154" s="391"/>
      <c r="L154" s="391"/>
      <c r="M154" s="391"/>
      <c r="N154" s="391"/>
      <c r="O154" s="391"/>
      <c r="P154" s="391"/>
      <c r="Q154" s="391"/>
      <c r="R154" s="391"/>
      <c r="S154" s="391"/>
      <c r="T154" s="391"/>
    </row>
    <row r="155" spans="1:20" ht="12.75">
      <c r="A155" s="362">
        <f t="shared" si="7"/>
        <v>5</v>
      </c>
      <c r="B155" s="344" t="s">
        <v>353</v>
      </c>
      <c r="C155" s="344"/>
      <c r="D155" s="332"/>
      <c r="E155" s="626" t="s">
        <v>89</v>
      </c>
      <c r="F155" s="391"/>
      <c r="G155" s="391"/>
      <c r="H155" s="391"/>
      <c r="I155" s="391"/>
      <c r="J155" s="391"/>
      <c r="K155" s="391"/>
      <c r="L155" s="391"/>
      <c r="M155" s="391"/>
      <c r="N155" s="391"/>
      <c r="O155" s="391"/>
      <c r="P155" s="391"/>
      <c r="Q155" s="391"/>
      <c r="R155" s="391"/>
      <c r="S155" s="391"/>
      <c r="T155" s="391"/>
    </row>
    <row r="156" spans="1:20" ht="12.75">
      <c r="A156" s="362">
        <f t="shared" si="7"/>
        <v>6</v>
      </c>
      <c r="B156" s="344" t="s">
        <v>354</v>
      </c>
      <c r="C156" s="344"/>
      <c r="D156" s="332"/>
      <c r="E156" s="626" t="s">
        <v>90</v>
      </c>
      <c r="F156" s="391"/>
      <c r="G156" s="391"/>
      <c r="H156" s="391"/>
      <c r="I156" s="391"/>
      <c r="J156" s="391"/>
      <c r="K156" s="391"/>
      <c r="L156" s="391"/>
      <c r="M156" s="391"/>
      <c r="N156" s="391"/>
      <c r="O156" s="391"/>
      <c r="P156" s="391"/>
      <c r="Q156" s="391"/>
      <c r="R156" s="391"/>
      <c r="S156" s="391"/>
      <c r="T156" s="391"/>
    </row>
    <row r="157" spans="1:20" ht="12.75">
      <c r="A157" s="362">
        <f t="shared" si="7"/>
        <v>7</v>
      </c>
      <c r="B157" s="344" t="s">
        <v>355</v>
      </c>
      <c r="C157" s="344"/>
      <c r="D157" s="332"/>
      <c r="E157" s="626" t="s">
        <v>91</v>
      </c>
      <c r="F157" s="391"/>
      <c r="G157" s="391"/>
      <c r="H157" s="391"/>
      <c r="I157" s="391"/>
      <c r="J157" s="391"/>
      <c r="K157" s="391"/>
      <c r="L157" s="391"/>
      <c r="M157" s="391"/>
      <c r="N157" s="391"/>
      <c r="O157" s="391"/>
      <c r="P157" s="391"/>
      <c r="Q157" s="391"/>
      <c r="R157" s="391"/>
      <c r="S157" s="391"/>
      <c r="T157" s="391"/>
    </row>
    <row r="158" spans="1:20" ht="12.75">
      <c r="A158" s="362">
        <f t="shared" si="7"/>
        <v>8</v>
      </c>
      <c r="B158" s="344" t="s">
        <v>356</v>
      </c>
      <c r="C158" s="344"/>
      <c r="D158" s="332"/>
      <c r="E158" s="626" t="s">
        <v>92</v>
      </c>
      <c r="F158" s="391"/>
      <c r="G158" s="391"/>
      <c r="H158" s="391"/>
      <c r="I158" s="391"/>
      <c r="J158" s="391"/>
      <c r="K158" s="391"/>
      <c r="L158" s="391"/>
      <c r="M158" s="391"/>
      <c r="N158" s="391"/>
      <c r="O158" s="391"/>
      <c r="P158" s="391"/>
      <c r="Q158" s="391"/>
      <c r="R158" s="391"/>
      <c r="S158" s="391"/>
      <c r="T158" s="391"/>
    </row>
    <row r="159" spans="1:20" ht="12.75">
      <c r="A159" s="362">
        <f t="shared" si="7"/>
        <v>9</v>
      </c>
      <c r="B159" s="344" t="s">
        <v>357</v>
      </c>
      <c r="C159" s="344"/>
      <c r="D159" s="332"/>
      <c r="E159" s="626" t="s">
        <v>607</v>
      </c>
      <c r="F159" s="391"/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  <c r="Q159" s="391"/>
      <c r="R159" s="391"/>
      <c r="S159" s="391"/>
      <c r="T159" s="391"/>
    </row>
    <row r="160" spans="1:49" s="396" customFormat="1" ht="12.75">
      <c r="A160" s="362">
        <f t="shared" si="7"/>
        <v>10</v>
      </c>
      <c r="B160" s="344" t="s">
        <v>358</v>
      </c>
      <c r="C160" s="344"/>
      <c r="D160" s="406" t="s">
        <v>351</v>
      </c>
      <c r="E160" s="625" t="s">
        <v>305</v>
      </c>
      <c r="F160" s="391"/>
      <c r="G160" s="391"/>
      <c r="H160" s="391"/>
      <c r="I160" s="391"/>
      <c r="J160" s="391"/>
      <c r="K160" s="391"/>
      <c r="L160" s="391"/>
      <c r="M160" s="391"/>
      <c r="N160" s="391"/>
      <c r="O160" s="391"/>
      <c r="P160" s="391"/>
      <c r="Q160" s="391"/>
      <c r="R160" s="391"/>
      <c r="S160" s="391"/>
      <c r="T160" s="391"/>
      <c r="AT160" s="407"/>
      <c r="AV160" s="407"/>
      <c r="AW160" s="407"/>
    </row>
    <row r="161" spans="1:49" s="396" customFormat="1" ht="12.75">
      <c r="A161" s="362">
        <f t="shared" si="7"/>
        <v>11</v>
      </c>
      <c r="B161" s="344" t="s">
        <v>78</v>
      </c>
      <c r="C161" s="344"/>
      <c r="D161" s="408" t="s">
        <v>79</v>
      </c>
      <c r="E161" s="627"/>
      <c r="F161" s="391"/>
      <c r="G161" s="391"/>
      <c r="H161" s="391"/>
      <c r="I161" s="391"/>
      <c r="J161" s="391"/>
      <c r="K161" s="391"/>
      <c r="L161" s="391"/>
      <c r="M161" s="391"/>
      <c r="N161" s="391"/>
      <c r="O161" s="391"/>
      <c r="P161" s="391"/>
      <c r="Q161" s="391"/>
      <c r="R161" s="391"/>
      <c r="S161" s="391"/>
      <c r="T161" s="391"/>
      <c r="AT161" s="407"/>
      <c r="AV161" s="407"/>
      <c r="AW161" s="407"/>
    </row>
    <row r="162" spans="1:51" ht="12.75">
      <c r="A162" s="362"/>
      <c r="B162" s="344"/>
      <c r="D162" s="399"/>
      <c r="E162" s="399"/>
      <c r="F162" s="391"/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  <c r="Q162" s="391"/>
      <c r="R162" s="391"/>
      <c r="S162" s="391"/>
      <c r="T162" s="391"/>
      <c r="AT162" s="407"/>
      <c r="AU162" s="407"/>
      <c r="AW162" s="407"/>
      <c r="AY162" s="162"/>
    </row>
    <row r="163" spans="1:51" ht="12.75">
      <c r="A163" s="362">
        <v>1</v>
      </c>
      <c r="B163" s="344" t="s">
        <v>0</v>
      </c>
      <c r="D163" s="405" t="s">
        <v>3</v>
      </c>
      <c r="E163" s="405" t="s">
        <v>84</v>
      </c>
      <c r="F163" s="391"/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  <c r="Q163" s="391"/>
      <c r="R163" s="391"/>
      <c r="S163" s="391"/>
      <c r="T163" s="391"/>
      <c r="AU163" s="407"/>
      <c r="AV163" s="407"/>
      <c r="AW163" s="407"/>
      <c r="AY163" s="162"/>
    </row>
    <row r="164" spans="1:51" s="396" customFormat="1" ht="12.75">
      <c r="A164" s="362">
        <f>A163+1</f>
        <v>2</v>
      </c>
      <c r="B164" s="344" t="s">
        <v>1</v>
      </c>
      <c r="C164" s="344"/>
      <c r="D164" s="406" t="s">
        <v>479</v>
      </c>
      <c r="E164" s="406" t="s">
        <v>85</v>
      </c>
      <c r="F164" s="391"/>
      <c r="G164" s="391"/>
      <c r="H164" s="391"/>
      <c r="I164" s="391"/>
      <c r="J164" s="391"/>
      <c r="K164" s="391"/>
      <c r="L164" s="391"/>
      <c r="M164" s="391"/>
      <c r="N164" s="391"/>
      <c r="O164" s="391"/>
      <c r="P164" s="391"/>
      <c r="Q164" s="391"/>
      <c r="R164" s="391"/>
      <c r="S164" s="391"/>
      <c r="T164" s="391"/>
      <c r="AT164" s="407"/>
      <c r="AV164" s="407"/>
      <c r="AW164" s="407"/>
      <c r="AY164" s="162"/>
    </row>
    <row r="165" spans="1:20" ht="12.75">
      <c r="A165" s="362">
        <f aca="true" t="shared" si="8" ref="A165:A173">A164+1</f>
        <v>3</v>
      </c>
      <c r="B165" s="344" t="s">
        <v>2</v>
      </c>
      <c r="C165" s="344"/>
      <c r="D165" s="332"/>
      <c r="E165" s="332" t="s">
        <v>93</v>
      </c>
      <c r="F165" s="391"/>
      <c r="G165" s="391"/>
      <c r="H165" s="391"/>
      <c r="I165" s="391"/>
      <c r="J165" s="391"/>
      <c r="K165" s="391"/>
      <c r="L165" s="391"/>
      <c r="M165" s="391"/>
      <c r="N165" s="391"/>
      <c r="O165" s="391"/>
      <c r="P165" s="391"/>
      <c r="Q165" s="391"/>
      <c r="R165" s="391"/>
      <c r="S165" s="391"/>
      <c r="T165" s="391"/>
    </row>
    <row r="166" spans="1:20" ht="12.75">
      <c r="A166" s="362">
        <f t="shared" si="8"/>
        <v>4</v>
      </c>
      <c r="B166" s="344" t="s">
        <v>361</v>
      </c>
      <c r="C166" s="344"/>
      <c r="D166" s="332"/>
      <c r="E166" s="332" t="s">
        <v>95</v>
      </c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  <c r="S166" s="391"/>
      <c r="T166" s="391"/>
    </row>
    <row r="167" spans="1:20" ht="12.75">
      <c r="A167" s="362">
        <f t="shared" si="8"/>
        <v>5</v>
      </c>
      <c r="B167" s="344" t="s">
        <v>362</v>
      </c>
      <c r="C167" s="344"/>
      <c r="D167" s="332"/>
      <c r="E167" s="332" t="s">
        <v>96</v>
      </c>
      <c r="F167" s="391"/>
      <c r="G167" s="391"/>
      <c r="H167" s="391"/>
      <c r="I167" s="391"/>
      <c r="J167" s="391"/>
      <c r="K167" s="391"/>
      <c r="L167" s="391"/>
      <c r="M167" s="391"/>
      <c r="N167" s="391"/>
      <c r="O167" s="391"/>
      <c r="P167" s="391"/>
      <c r="Q167" s="391"/>
      <c r="R167" s="391"/>
      <c r="S167" s="391"/>
      <c r="T167" s="391"/>
    </row>
    <row r="168" spans="1:20" ht="12.75">
      <c r="A168" s="362">
        <f t="shared" si="8"/>
        <v>6</v>
      </c>
      <c r="B168" s="344" t="s">
        <v>363</v>
      </c>
      <c r="C168" s="344"/>
      <c r="D168" s="332"/>
      <c r="E168" s="332" t="s">
        <v>97</v>
      </c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1"/>
      <c r="R168" s="391"/>
      <c r="S168" s="391"/>
      <c r="T168" s="391"/>
    </row>
    <row r="169" spans="1:20" ht="12.75">
      <c r="A169" s="362">
        <f t="shared" si="8"/>
        <v>7</v>
      </c>
      <c r="B169" s="344" t="s">
        <v>364</v>
      </c>
      <c r="C169" s="344"/>
      <c r="D169" s="332"/>
      <c r="E169" s="332" t="s">
        <v>98</v>
      </c>
      <c r="F169" s="391"/>
      <c r="G169" s="391"/>
      <c r="H169" s="391"/>
      <c r="I169" s="391"/>
      <c r="J169" s="391"/>
      <c r="K169" s="391"/>
      <c r="L169" s="391"/>
      <c r="M169" s="391"/>
      <c r="N169" s="391"/>
      <c r="O169" s="391"/>
      <c r="P169" s="391"/>
      <c r="Q169" s="391"/>
      <c r="R169" s="391"/>
      <c r="S169" s="391"/>
      <c r="T169" s="391"/>
    </row>
    <row r="170" spans="1:20" ht="12.75">
      <c r="A170" s="362">
        <f t="shared" si="8"/>
        <v>8</v>
      </c>
      <c r="B170" s="344" t="s">
        <v>365</v>
      </c>
      <c r="C170" s="344"/>
      <c r="D170" s="332"/>
      <c r="E170" s="332" t="s">
        <v>144</v>
      </c>
      <c r="F170" s="391"/>
      <c r="G170" s="391"/>
      <c r="H170" s="391"/>
      <c r="I170" s="391"/>
      <c r="J170" s="391"/>
      <c r="K170" s="391"/>
      <c r="L170" s="391"/>
      <c r="M170" s="391"/>
      <c r="N170" s="391"/>
      <c r="O170" s="391"/>
      <c r="P170" s="391"/>
      <c r="Q170" s="391"/>
      <c r="R170" s="391"/>
      <c r="S170" s="391"/>
      <c r="T170" s="391"/>
    </row>
    <row r="171" spans="1:20" ht="12.75">
      <c r="A171" s="362">
        <f t="shared" si="8"/>
        <v>9</v>
      </c>
      <c r="B171" s="344" t="s">
        <v>366</v>
      </c>
      <c r="C171" s="344"/>
      <c r="D171" s="332"/>
      <c r="E171" s="332" t="s">
        <v>99</v>
      </c>
      <c r="F171" s="391"/>
      <c r="G171" s="391"/>
      <c r="H171" s="391"/>
      <c r="I171" s="391"/>
      <c r="J171" s="391"/>
      <c r="K171" s="391"/>
      <c r="L171" s="391"/>
      <c r="M171" s="391"/>
      <c r="N171" s="391"/>
      <c r="O171" s="391"/>
      <c r="P171" s="391"/>
      <c r="Q171" s="391"/>
      <c r="R171" s="391"/>
      <c r="S171" s="391"/>
      <c r="T171" s="391"/>
    </row>
    <row r="172" spans="1:20" ht="12.75">
      <c r="A172" s="362">
        <f t="shared" si="8"/>
        <v>10</v>
      </c>
      <c r="B172" s="344" t="s">
        <v>367</v>
      </c>
      <c r="C172" s="344"/>
      <c r="D172" s="332"/>
      <c r="E172" s="332" t="s">
        <v>100</v>
      </c>
      <c r="F172" s="391"/>
      <c r="G172" s="391"/>
      <c r="H172" s="391"/>
      <c r="I172" s="391"/>
      <c r="J172" s="391"/>
      <c r="K172" s="391"/>
      <c r="L172" s="391"/>
      <c r="M172" s="391"/>
      <c r="N172" s="391"/>
      <c r="O172" s="391"/>
      <c r="P172" s="391"/>
      <c r="Q172" s="391"/>
      <c r="R172" s="391"/>
      <c r="S172" s="391"/>
      <c r="T172" s="391"/>
    </row>
    <row r="173" spans="1:20" s="396" customFormat="1" ht="12.75">
      <c r="A173" s="362">
        <f t="shared" si="8"/>
        <v>11</v>
      </c>
      <c r="B173" s="344" t="s">
        <v>458</v>
      </c>
      <c r="C173" s="344"/>
      <c r="D173" s="408"/>
      <c r="E173" s="408" t="s">
        <v>457</v>
      </c>
      <c r="F173" s="391"/>
      <c r="G173" s="391"/>
      <c r="H173" s="391"/>
      <c r="I173" s="391"/>
      <c r="J173" s="391"/>
      <c r="K173" s="391"/>
      <c r="L173" s="391"/>
      <c r="M173" s="391"/>
      <c r="N173" s="391"/>
      <c r="O173" s="391"/>
      <c r="P173" s="391"/>
      <c r="Q173" s="391"/>
      <c r="R173" s="391"/>
      <c r="S173" s="391"/>
      <c r="T173" s="391"/>
    </row>
    <row r="174" spans="1:10" ht="12.75">
      <c r="A174" s="362"/>
      <c r="B174" s="344"/>
      <c r="C174" s="363"/>
      <c r="D174" s="387"/>
      <c r="E174" s="381"/>
      <c r="F174" s="362"/>
      <c r="J174" s="381"/>
    </row>
    <row r="175" spans="1:10" ht="12.75">
      <c r="A175" s="362"/>
      <c r="B175" s="344"/>
      <c r="C175" s="363"/>
      <c r="D175" s="387"/>
      <c r="E175" s="381"/>
      <c r="F175" s="362"/>
      <c r="J175" s="381"/>
    </row>
    <row r="176" spans="1:5" ht="14.25">
      <c r="A176" s="362"/>
      <c r="B176" s="266" t="s">
        <v>411</v>
      </c>
      <c r="C176" s="159"/>
      <c r="D176" s="377"/>
      <c r="E176" s="378"/>
    </row>
    <row r="177" spans="1:10" ht="12.75">
      <c r="A177" s="362"/>
      <c r="B177" s="344"/>
      <c r="C177" s="363"/>
      <c r="D177" s="387"/>
      <c r="E177" s="381"/>
      <c r="F177" s="362"/>
      <c r="J177" s="381"/>
    </row>
    <row r="178" spans="1:20" ht="12.75">
      <c r="A178" s="362">
        <v>1</v>
      </c>
      <c r="B178" s="344" t="s">
        <v>414</v>
      </c>
      <c r="D178" s="409" t="s">
        <v>167</v>
      </c>
      <c r="F178" s="391"/>
      <c r="G178" s="391"/>
      <c r="H178" s="391"/>
      <c r="I178" s="391"/>
      <c r="J178" s="391"/>
      <c r="K178" s="391"/>
      <c r="L178" s="391"/>
      <c r="M178" s="391"/>
      <c r="N178" s="391"/>
      <c r="O178" s="391"/>
      <c r="P178" s="391"/>
      <c r="Q178" s="391"/>
      <c r="R178" s="391"/>
      <c r="S178" s="391"/>
      <c r="T178" s="391"/>
    </row>
    <row r="179" spans="1:20" s="396" customFormat="1" ht="12.75">
      <c r="A179" s="362">
        <v>2</v>
      </c>
      <c r="B179" s="344" t="s">
        <v>415</v>
      </c>
      <c r="D179" s="410" t="s">
        <v>412</v>
      </c>
      <c r="F179" s="391"/>
      <c r="G179" s="391"/>
      <c r="H179" s="391"/>
      <c r="I179" s="391"/>
      <c r="J179" s="391"/>
      <c r="K179" s="391"/>
      <c r="L179" s="391"/>
      <c r="M179" s="391"/>
      <c r="N179" s="391"/>
      <c r="O179" s="391"/>
      <c r="P179" s="391"/>
      <c r="Q179" s="391"/>
      <c r="R179" s="391"/>
      <c r="S179" s="391"/>
      <c r="T179" s="391"/>
    </row>
    <row r="180" spans="1:20" ht="14.25">
      <c r="A180" s="362">
        <v>3</v>
      </c>
      <c r="B180" s="344" t="s">
        <v>416</v>
      </c>
      <c r="C180" s="411"/>
      <c r="D180" s="410" t="s">
        <v>172</v>
      </c>
      <c r="F180" s="391"/>
      <c r="G180" s="391"/>
      <c r="H180" s="391"/>
      <c r="I180" s="391"/>
      <c r="J180" s="391"/>
      <c r="K180" s="391"/>
      <c r="L180" s="391"/>
      <c r="M180" s="391"/>
      <c r="N180" s="391"/>
      <c r="O180" s="391"/>
      <c r="P180" s="391"/>
      <c r="Q180" s="391"/>
      <c r="R180" s="391"/>
      <c r="S180" s="391"/>
      <c r="T180" s="391"/>
    </row>
    <row r="181" spans="1:20" ht="14.25">
      <c r="A181" s="362">
        <v>4</v>
      </c>
      <c r="B181" s="344" t="s">
        <v>417</v>
      </c>
      <c r="C181" s="411"/>
      <c r="D181" s="412" t="s">
        <v>419</v>
      </c>
      <c r="F181" s="391"/>
      <c r="G181" s="391"/>
      <c r="H181" s="391"/>
      <c r="I181" s="391"/>
      <c r="J181" s="391"/>
      <c r="K181" s="391"/>
      <c r="L181" s="391"/>
      <c r="M181" s="391"/>
      <c r="N181" s="391"/>
      <c r="O181" s="391"/>
      <c r="P181" s="391"/>
      <c r="Q181" s="391"/>
      <c r="R181" s="391"/>
      <c r="S181" s="391"/>
      <c r="T181" s="391"/>
    </row>
    <row r="182" spans="1:20" ht="14.25">
      <c r="A182" s="362">
        <v>5</v>
      </c>
      <c r="B182" s="344" t="s">
        <v>418</v>
      </c>
      <c r="C182" s="411"/>
      <c r="D182" s="412" t="s">
        <v>594</v>
      </c>
      <c r="F182" s="391"/>
      <c r="G182" s="391"/>
      <c r="H182" s="391"/>
      <c r="I182" s="391"/>
      <c r="J182" s="391"/>
      <c r="K182" s="391"/>
      <c r="L182" s="391"/>
      <c r="M182" s="391"/>
      <c r="N182" s="391"/>
      <c r="O182" s="391"/>
      <c r="P182" s="391"/>
      <c r="Q182" s="391"/>
      <c r="R182" s="391"/>
      <c r="S182" s="391"/>
      <c r="T182" s="391"/>
    </row>
    <row r="183" spans="1:20" ht="14.25">
      <c r="A183" s="362">
        <v>6</v>
      </c>
      <c r="B183" s="344" t="s">
        <v>421</v>
      </c>
      <c r="C183" s="411"/>
      <c r="D183" s="412" t="s">
        <v>593</v>
      </c>
      <c r="F183" s="391"/>
      <c r="G183" s="391"/>
      <c r="H183" s="391"/>
      <c r="I183" s="391"/>
      <c r="J183" s="391"/>
      <c r="K183" s="391"/>
      <c r="L183" s="391"/>
      <c r="M183" s="391"/>
      <c r="N183" s="391"/>
      <c r="O183" s="391"/>
      <c r="P183" s="391"/>
      <c r="Q183" s="391"/>
      <c r="R183" s="391"/>
      <c r="S183" s="391"/>
      <c r="T183" s="391"/>
    </row>
    <row r="184" spans="1:20" ht="14.25">
      <c r="A184" s="362">
        <v>9</v>
      </c>
      <c r="B184" s="344" t="s">
        <v>422</v>
      </c>
      <c r="C184" s="411"/>
      <c r="D184" s="410" t="s">
        <v>420</v>
      </c>
      <c r="F184" s="391"/>
      <c r="G184" s="391"/>
      <c r="H184" s="391"/>
      <c r="I184" s="391"/>
      <c r="J184" s="391"/>
      <c r="K184" s="391"/>
      <c r="L184" s="391"/>
      <c r="M184" s="391"/>
      <c r="N184" s="391"/>
      <c r="O184" s="391"/>
      <c r="P184" s="391"/>
      <c r="Q184" s="391"/>
      <c r="R184" s="391"/>
      <c r="S184" s="391"/>
      <c r="T184" s="391"/>
    </row>
    <row r="185" spans="1:20" ht="14.25">
      <c r="A185" s="362">
        <v>10</v>
      </c>
      <c r="B185" s="344" t="s">
        <v>425</v>
      </c>
      <c r="C185" s="411"/>
      <c r="D185" s="413" t="s">
        <v>396</v>
      </c>
      <c r="F185" s="391"/>
      <c r="G185" s="391"/>
      <c r="H185" s="391"/>
      <c r="I185" s="391"/>
      <c r="J185" s="391"/>
      <c r="K185" s="391"/>
      <c r="L185" s="391"/>
      <c r="M185" s="391"/>
      <c r="N185" s="391"/>
      <c r="O185" s="391"/>
      <c r="P185" s="391"/>
      <c r="Q185" s="391"/>
      <c r="R185" s="391"/>
      <c r="S185" s="391"/>
      <c r="T185" s="391"/>
    </row>
    <row r="186" spans="1:20" ht="14.25">
      <c r="A186" s="362">
        <v>11</v>
      </c>
      <c r="B186" s="344" t="s">
        <v>426</v>
      </c>
      <c r="C186" s="411"/>
      <c r="D186" s="410" t="s">
        <v>397</v>
      </c>
      <c r="F186" s="391"/>
      <c r="G186" s="391"/>
      <c r="H186" s="391"/>
      <c r="I186" s="391"/>
      <c r="J186" s="391"/>
      <c r="K186" s="391"/>
      <c r="L186" s="391"/>
      <c r="M186" s="391"/>
      <c r="N186" s="391"/>
      <c r="O186" s="391"/>
      <c r="P186" s="391"/>
      <c r="Q186" s="391"/>
      <c r="R186" s="391"/>
      <c r="S186" s="391"/>
      <c r="T186" s="391"/>
    </row>
    <row r="187" spans="1:20" ht="14.25">
      <c r="A187" s="362">
        <v>12</v>
      </c>
      <c r="B187" s="344" t="s">
        <v>427</v>
      </c>
      <c r="C187" s="411"/>
      <c r="D187" s="413" t="s">
        <v>398</v>
      </c>
      <c r="F187" s="391"/>
      <c r="G187" s="391"/>
      <c r="H187" s="391"/>
      <c r="I187" s="391"/>
      <c r="J187" s="391"/>
      <c r="K187" s="391"/>
      <c r="L187" s="391"/>
      <c r="M187" s="391"/>
      <c r="N187" s="391"/>
      <c r="O187" s="391"/>
      <c r="P187" s="391"/>
      <c r="Q187" s="391"/>
      <c r="R187" s="391"/>
      <c r="S187" s="391"/>
      <c r="T187" s="391"/>
    </row>
    <row r="188" spans="1:20" ht="14.25">
      <c r="A188" s="362">
        <v>13</v>
      </c>
      <c r="B188" s="344" t="s">
        <v>428</v>
      </c>
      <c r="C188" s="411"/>
      <c r="D188" s="413" t="s">
        <v>171</v>
      </c>
      <c r="F188" s="391"/>
      <c r="G188" s="391"/>
      <c r="H188" s="391"/>
      <c r="I188" s="391"/>
      <c r="J188" s="391"/>
      <c r="K188" s="391"/>
      <c r="L188" s="391"/>
      <c r="M188" s="391"/>
      <c r="N188" s="391"/>
      <c r="O188" s="391"/>
      <c r="P188" s="391"/>
      <c r="Q188" s="391"/>
      <c r="R188" s="391"/>
      <c r="S188" s="391"/>
      <c r="T188" s="391"/>
    </row>
    <row r="189" spans="1:20" s="396" customFormat="1" ht="12.75">
      <c r="A189" s="362">
        <v>14</v>
      </c>
      <c r="B189" s="344" t="s">
        <v>429</v>
      </c>
      <c r="D189" s="410" t="s">
        <v>413</v>
      </c>
      <c r="F189" s="391"/>
      <c r="G189" s="391"/>
      <c r="H189" s="391"/>
      <c r="I189" s="391"/>
      <c r="J189" s="391"/>
      <c r="K189" s="391"/>
      <c r="L189" s="391"/>
      <c r="M189" s="391"/>
      <c r="N189" s="391"/>
      <c r="O189" s="391"/>
      <c r="P189" s="391"/>
      <c r="Q189" s="391"/>
      <c r="R189" s="391"/>
      <c r="S189" s="391"/>
      <c r="T189" s="391"/>
    </row>
    <row r="190" spans="1:20" ht="14.25">
      <c r="A190" s="362">
        <v>15</v>
      </c>
      <c r="B190" s="344" t="s">
        <v>430</v>
      </c>
      <c r="C190" s="411"/>
      <c r="D190" s="410" t="s">
        <v>400</v>
      </c>
      <c r="F190" s="391"/>
      <c r="G190" s="391"/>
      <c r="H190" s="391"/>
      <c r="I190" s="391"/>
      <c r="J190" s="391"/>
      <c r="K190" s="391"/>
      <c r="L190" s="391"/>
      <c r="M190" s="391"/>
      <c r="N190" s="391"/>
      <c r="O190" s="391"/>
      <c r="P190" s="391"/>
      <c r="Q190" s="391"/>
      <c r="R190" s="391"/>
      <c r="S190" s="391"/>
      <c r="T190" s="391"/>
    </row>
    <row r="191" spans="1:20" ht="14.25">
      <c r="A191" s="362">
        <v>16</v>
      </c>
      <c r="B191" s="344" t="s">
        <v>431</v>
      </c>
      <c r="C191" s="411"/>
      <c r="D191" s="414" t="s">
        <v>401</v>
      </c>
      <c r="F191" s="391"/>
      <c r="G191" s="391"/>
      <c r="H191" s="391"/>
      <c r="I191" s="391"/>
      <c r="J191" s="391"/>
      <c r="K191" s="391"/>
      <c r="L191" s="391"/>
      <c r="M191" s="391"/>
      <c r="N191" s="391"/>
      <c r="O191" s="391"/>
      <c r="P191" s="391"/>
      <c r="Q191" s="391"/>
      <c r="R191" s="391"/>
      <c r="S191" s="391"/>
      <c r="T191" s="391"/>
    </row>
    <row r="192" spans="1:20" ht="14.25">
      <c r="A192" s="362">
        <v>17</v>
      </c>
      <c r="B192" s="344" t="s">
        <v>432</v>
      </c>
      <c r="C192" s="411"/>
      <c r="D192" s="410" t="s">
        <v>197</v>
      </c>
      <c r="F192" s="391"/>
      <c r="G192" s="391"/>
      <c r="H192" s="391"/>
      <c r="I192" s="391"/>
      <c r="J192" s="391"/>
      <c r="K192" s="391"/>
      <c r="L192" s="391"/>
      <c r="M192" s="391"/>
      <c r="N192" s="391"/>
      <c r="O192" s="391"/>
      <c r="P192" s="391"/>
      <c r="Q192" s="391"/>
      <c r="R192" s="391"/>
      <c r="S192" s="391"/>
      <c r="T192" s="391"/>
    </row>
    <row r="193" spans="1:20" ht="14.25">
      <c r="A193" s="362">
        <v>18</v>
      </c>
      <c r="B193" s="344" t="s">
        <v>433</v>
      </c>
      <c r="C193" s="411"/>
      <c r="D193" s="414" t="s">
        <v>402</v>
      </c>
      <c r="F193" s="391"/>
      <c r="G193" s="391"/>
      <c r="H193" s="391"/>
      <c r="I193" s="391"/>
      <c r="J193" s="391"/>
      <c r="K193" s="391"/>
      <c r="L193" s="391"/>
      <c r="M193" s="391"/>
      <c r="N193" s="391"/>
      <c r="O193" s="391"/>
      <c r="P193" s="391"/>
      <c r="Q193" s="391"/>
      <c r="R193" s="391"/>
      <c r="S193" s="391"/>
      <c r="T193" s="391"/>
    </row>
    <row r="194" spans="1:20" ht="14.25">
      <c r="A194" s="362">
        <v>19</v>
      </c>
      <c r="B194" s="344" t="s">
        <v>434</v>
      </c>
      <c r="C194" s="411"/>
      <c r="D194" s="415" t="s">
        <v>386</v>
      </c>
      <c r="F194" s="391"/>
      <c r="G194" s="391"/>
      <c r="H194" s="391"/>
      <c r="I194" s="391"/>
      <c r="J194" s="391"/>
      <c r="K194" s="391"/>
      <c r="L194" s="391"/>
      <c r="M194" s="391"/>
      <c r="N194" s="391"/>
      <c r="O194" s="391"/>
      <c r="P194" s="391"/>
      <c r="Q194" s="391"/>
      <c r="R194" s="391"/>
      <c r="S194" s="391"/>
      <c r="T194" s="391"/>
    </row>
    <row r="195" spans="1:20" ht="12.75">
      <c r="A195" s="362">
        <v>20</v>
      </c>
      <c r="B195" s="344" t="s">
        <v>435</v>
      </c>
      <c r="D195" s="409" t="s">
        <v>404</v>
      </c>
      <c r="F195" s="391"/>
      <c r="G195" s="391"/>
      <c r="H195" s="391"/>
      <c r="I195" s="391"/>
      <c r="J195" s="391"/>
      <c r="K195" s="391"/>
      <c r="L195" s="391"/>
      <c r="M195" s="391"/>
      <c r="N195" s="391"/>
      <c r="O195" s="391"/>
      <c r="P195" s="391"/>
      <c r="Q195" s="391"/>
      <c r="R195" s="391"/>
      <c r="S195" s="391"/>
      <c r="T195" s="391"/>
    </row>
    <row r="196" spans="1:20" s="396" customFormat="1" ht="12.75">
      <c r="A196" s="362">
        <v>21</v>
      </c>
      <c r="B196" s="344" t="s">
        <v>437</v>
      </c>
      <c r="D196" s="410" t="s">
        <v>436</v>
      </c>
      <c r="F196" s="391"/>
      <c r="G196" s="391"/>
      <c r="H196" s="391"/>
      <c r="I196" s="391"/>
      <c r="J196" s="391"/>
      <c r="K196" s="391"/>
      <c r="L196" s="391"/>
      <c r="M196" s="391"/>
      <c r="N196" s="391"/>
      <c r="O196" s="391"/>
      <c r="P196" s="391"/>
      <c r="Q196" s="391"/>
      <c r="R196" s="391"/>
      <c r="S196" s="391"/>
      <c r="T196" s="391"/>
    </row>
    <row r="197" spans="1:20" ht="14.25">
      <c r="A197" s="362">
        <v>22</v>
      </c>
      <c r="B197" s="344" t="s">
        <v>438</v>
      </c>
      <c r="C197" s="411"/>
      <c r="D197" s="410" t="s">
        <v>165</v>
      </c>
      <c r="F197" s="391"/>
      <c r="G197" s="391"/>
      <c r="H197" s="391"/>
      <c r="I197" s="391"/>
      <c r="J197" s="391"/>
      <c r="K197" s="391"/>
      <c r="L197" s="391"/>
      <c r="M197" s="391"/>
      <c r="N197" s="391"/>
      <c r="O197" s="391"/>
      <c r="P197" s="391"/>
      <c r="Q197" s="391"/>
      <c r="R197" s="391"/>
      <c r="S197" s="391"/>
      <c r="T197" s="391"/>
    </row>
    <row r="198" spans="1:20" ht="14.25">
      <c r="A198" s="362">
        <v>23</v>
      </c>
      <c r="B198" s="344" t="s">
        <v>439</v>
      </c>
      <c r="C198" s="411"/>
      <c r="D198" s="410" t="s">
        <v>446</v>
      </c>
      <c r="F198" s="391"/>
      <c r="G198" s="391"/>
      <c r="H198" s="391"/>
      <c r="I198" s="391"/>
      <c r="J198" s="391"/>
      <c r="K198" s="391"/>
      <c r="L198" s="391"/>
      <c r="M198" s="391"/>
      <c r="N198" s="391"/>
      <c r="O198" s="391"/>
      <c r="P198" s="391"/>
      <c r="Q198" s="391"/>
      <c r="R198" s="391"/>
      <c r="S198" s="391"/>
      <c r="T198" s="391"/>
    </row>
    <row r="199" spans="1:20" ht="14.25">
      <c r="A199" s="362">
        <v>24</v>
      </c>
      <c r="B199" s="344" t="s">
        <v>440</v>
      </c>
      <c r="C199" s="411"/>
      <c r="D199" s="410" t="s">
        <v>447</v>
      </c>
      <c r="F199" s="391"/>
      <c r="G199" s="391"/>
      <c r="H199" s="391"/>
      <c r="I199" s="391"/>
      <c r="J199" s="391"/>
      <c r="K199" s="391"/>
      <c r="L199" s="391"/>
      <c r="M199" s="391"/>
      <c r="N199" s="391"/>
      <c r="O199" s="391"/>
      <c r="P199" s="391"/>
      <c r="Q199" s="391"/>
      <c r="R199" s="391"/>
      <c r="S199" s="391"/>
      <c r="T199" s="391"/>
    </row>
    <row r="200" spans="1:20" ht="14.25">
      <c r="A200" s="362">
        <v>25</v>
      </c>
      <c r="B200" s="344" t="s">
        <v>441</v>
      </c>
      <c r="C200" s="411"/>
      <c r="D200" s="410" t="s">
        <v>349</v>
      </c>
      <c r="F200" s="391"/>
      <c r="G200" s="391"/>
      <c r="H200" s="391"/>
      <c r="I200" s="391"/>
      <c r="J200" s="391"/>
      <c r="K200" s="391"/>
      <c r="L200" s="391"/>
      <c r="M200" s="391"/>
      <c r="N200" s="391"/>
      <c r="O200" s="391"/>
      <c r="P200" s="391"/>
      <c r="Q200" s="391"/>
      <c r="R200" s="391"/>
      <c r="S200" s="391"/>
      <c r="T200" s="391"/>
    </row>
    <row r="201" spans="1:20" ht="14.25">
      <c r="A201" s="362">
        <v>26</v>
      </c>
      <c r="B201" s="344" t="s">
        <v>442</v>
      </c>
      <c r="C201" s="411"/>
      <c r="D201" s="410" t="s">
        <v>237</v>
      </c>
      <c r="F201" s="391"/>
      <c r="G201" s="391"/>
      <c r="H201" s="391"/>
      <c r="I201" s="391"/>
      <c r="J201" s="391"/>
      <c r="K201" s="391"/>
      <c r="L201" s="391"/>
      <c r="M201" s="391"/>
      <c r="N201" s="391"/>
      <c r="O201" s="391"/>
      <c r="P201" s="391"/>
      <c r="Q201" s="391"/>
      <c r="R201" s="391"/>
      <c r="S201" s="391"/>
      <c r="T201" s="391"/>
    </row>
    <row r="202" spans="1:20" ht="14.25">
      <c r="A202" s="362">
        <v>27</v>
      </c>
      <c r="B202" s="344" t="s">
        <v>443</v>
      </c>
      <c r="C202" s="411"/>
      <c r="D202" s="410" t="s">
        <v>405</v>
      </c>
      <c r="F202" s="391"/>
      <c r="G202" s="391"/>
      <c r="H202" s="391"/>
      <c r="I202" s="391"/>
      <c r="J202" s="391"/>
      <c r="K202" s="391"/>
      <c r="L202" s="391"/>
      <c r="M202" s="391"/>
      <c r="N202" s="391"/>
      <c r="O202" s="391"/>
      <c r="P202" s="391"/>
      <c r="Q202" s="391"/>
      <c r="R202" s="391"/>
      <c r="S202" s="391"/>
      <c r="T202" s="391"/>
    </row>
    <row r="203" spans="1:20" ht="14.25">
      <c r="A203" s="362">
        <v>28</v>
      </c>
      <c r="B203" s="344" t="s">
        <v>444</v>
      </c>
      <c r="C203" s="411"/>
      <c r="D203" s="410" t="s">
        <v>448</v>
      </c>
      <c r="F203" s="391"/>
      <c r="G203" s="391"/>
      <c r="H203" s="391"/>
      <c r="I203" s="391"/>
      <c r="J203" s="391"/>
      <c r="K203" s="391"/>
      <c r="L203" s="391"/>
      <c r="M203" s="391"/>
      <c r="N203" s="391"/>
      <c r="O203" s="391"/>
      <c r="P203" s="391"/>
      <c r="Q203" s="391"/>
      <c r="R203" s="391"/>
      <c r="S203" s="391"/>
      <c r="T203" s="391"/>
    </row>
    <row r="204" spans="1:20" ht="14.25">
      <c r="A204" s="362">
        <v>29</v>
      </c>
      <c r="B204" s="344" t="s">
        <v>445</v>
      </c>
      <c r="C204" s="411"/>
      <c r="D204" s="410" t="s">
        <v>10</v>
      </c>
      <c r="F204" s="391"/>
      <c r="G204" s="391"/>
      <c r="H204" s="391"/>
      <c r="I204" s="391"/>
      <c r="J204" s="391"/>
      <c r="K204" s="391"/>
      <c r="L204" s="391"/>
      <c r="M204" s="391"/>
      <c r="N204" s="391"/>
      <c r="O204" s="391"/>
      <c r="P204" s="391"/>
      <c r="Q204" s="391"/>
      <c r="R204" s="391"/>
      <c r="S204" s="391"/>
      <c r="T204" s="391"/>
    </row>
    <row r="205" spans="1:20" ht="14.25">
      <c r="A205" s="362">
        <v>30</v>
      </c>
      <c r="B205" s="344" t="s">
        <v>450</v>
      </c>
      <c r="C205" s="411"/>
      <c r="D205" s="413" t="s">
        <v>406</v>
      </c>
      <c r="F205" s="391"/>
      <c r="G205" s="391"/>
      <c r="H205" s="391"/>
      <c r="I205" s="391"/>
      <c r="J205" s="391"/>
      <c r="K205" s="391"/>
      <c r="L205" s="391"/>
      <c r="M205" s="391"/>
      <c r="N205" s="391"/>
      <c r="O205" s="391"/>
      <c r="P205" s="391"/>
      <c r="Q205" s="391"/>
      <c r="R205" s="391"/>
      <c r="S205" s="391"/>
      <c r="T205" s="391"/>
    </row>
    <row r="206" spans="1:20" ht="14.25">
      <c r="A206" s="362">
        <v>32</v>
      </c>
      <c r="B206" s="344" t="s">
        <v>451</v>
      </c>
      <c r="C206" s="411"/>
      <c r="D206" s="410" t="s">
        <v>449</v>
      </c>
      <c r="F206" s="391"/>
      <c r="G206" s="391"/>
      <c r="H206" s="391"/>
      <c r="I206" s="391"/>
      <c r="J206" s="391"/>
      <c r="K206" s="391"/>
      <c r="L206" s="391"/>
      <c r="M206" s="391"/>
      <c r="N206" s="391"/>
      <c r="O206" s="391"/>
      <c r="P206" s="391"/>
      <c r="Q206" s="391"/>
      <c r="R206" s="391"/>
      <c r="S206" s="391"/>
      <c r="T206" s="391"/>
    </row>
    <row r="207" spans="1:20" ht="14.25">
      <c r="A207" s="362">
        <v>33</v>
      </c>
      <c r="B207" s="344" t="s">
        <v>454</v>
      </c>
      <c r="C207" s="411"/>
      <c r="D207" s="410" t="s">
        <v>452</v>
      </c>
      <c r="F207" s="391"/>
      <c r="G207" s="391"/>
      <c r="H207" s="391"/>
      <c r="I207" s="391"/>
      <c r="J207" s="391"/>
      <c r="K207" s="391"/>
      <c r="L207" s="391"/>
      <c r="M207" s="391"/>
      <c r="N207" s="391"/>
      <c r="O207" s="391"/>
      <c r="P207" s="391"/>
      <c r="Q207" s="391"/>
      <c r="R207" s="391"/>
      <c r="S207" s="391"/>
      <c r="T207" s="391"/>
    </row>
    <row r="208" spans="1:20" ht="14.25">
      <c r="A208" s="362">
        <v>34</v>
      </c>
      <c r="B208" s="344" t="s">
        <v>455</v>
      </c>
      <c r="C208" s="411"/>
      <c r="D208" s="410" t="s">
        <v>453</v>
      </c>
      <c r="F208" s="391"/>
      <c r="G208" s="391"/>
      <c r="H208" s="391"/>
      <c r="I208" s="391"/>
      <c r="J208" s="391"/>
      <c r="K208" s="391"/>
      <c r="L208" s="391"/>
      <c r="M208" s="391"/>
      <c r="N208" s="391"/>
      <c r="O208" s="391"/>
      <c r="P208" s="391"/>
      <c r="Q208" s="391"/>
      <c r="R208" s="391"/>
      <c r="S208" s="391"/>
      <c r="T208" s="391"/>
    </row>
    <row r="209" spans="1:20" ht="14.25">
      <c r="A209" s="362">
        <v>35</v>
      </c>
      <c r="B209" s="344" t="s">
        <v>467</v>
      </c>
      <c r="C209" s="411"/>
      <c r="D209" s="410" t="s">
        <v>173</v>
      </c>
      <c r="F209" s="391"/>
      <c r="G209" s="391"/>
      <c r="H209" s="391"/>
      <c r="I209" s="391"/>
      <c r="J209" s="391"/>
      <c r="K209" s="391"/>
      <c r="L209" s="391"/>
      <c r="M209" s="391"/>
      <c r="N209" s="391"/>
      <c r="O209" s="391"/>
      <c r="P209" s="391"/>
      <c r="Q209" s="391"/>
      <c r="R209" s="391"/>
      <c r="S209" s="391"/>
      <c r="T209" s="391"/>
    </row>
    <row r="210" spans="1:20" ht="14.25">
      <c r="A210" s="362">
        <v>36</v>
      </c>
      <c r="B210" s="344" t="s">
        <v>468</v>
      </c>
      <c r="C210" s="411"/>
      <c r="D210" s="410" t="s">
        <v>174</v>
      </c>
      <c r="F210" s="391"/>
      <c r="G210" s="391"/>
      <c r="H210" s="391"/>
      <c r="I210" s="391"/>
      <c r="J210" s="391"/>
      <c r="K210" s="391"/>
      <c r="L210" s="391"/>
      <c r="M210" s="391"/>
      <c r="N210" s="391"/>
      <c r="O210" s="391"/>
      <c r="P210" s="391"/>
      <c r="Q210" s="391"/>
      <c r="R210" s="391"/>
      <c r="S210" s="391"/>
      <c r="T210" s="391"/>
    </row>
    <row r="211" spans="1:20" ht="14.25">
      <c r="A211" s="362">
        <v>37</v>
      </c>
      <c r="B211" s="344" t="s">
        <v>469</v>
      </c>
      <c r="C211" s="411"/>
      <c r="D211" s="412" t="s">
        <v>175</v>
      </c>
      <c r="F211" s="391"/>
      <c r="G211" s="391"/>
      <c r="H211" s="391"/>
      <c r="I211" s="391"/>
      <c r="J211" s="391"/>
      <c r="K211" s="391"/>
      <c r="L211" s="391"/>
      <c r="M211" s="391"/>
      <c r="N211" s="391"/>
      <c r="O211" s="391"/>
      <c r="P211" s="391"/>
      <c r="Q211" s="391"/>
      <c r="R211" s="391"/>
      <c r="S211" s="391"/>
      <c r="T211" s="391"/>
    </row>
    <row r="212" spans="1:20" ht="14.25">
      <c r="A212" s="362">
        <v>38</v>
      </c>
      <c r="B212" s="344" t="s">
        <v>470</v>
      </c>
      <c r="C212" s="411"/>
      <c r="D212" s="412" t="s">
        <v>423</v>
      </c>
      <c r="F212" s="391"/>
      <c r="G212" s="391"/>
      <c r="H212" s="391"/>
      <c r="I212" s="391"/>
      <c r="J212" s="391"/>
      <c r="K212" s="391"/>
      <c r="L212" s="391"/>
      <c r="M212" s="391"/>
      <c r="N212" s="391"/>
      <c r="O212" s="391"/>
      <c r="P212" s="391"/>
      <c r="Q212" s="391"/>
      <c r="R212" s="391"/>
      <c r="S212" s="391"/>
      <c r="T212" s="391"/>
    </row>
    <row r="213" spans="1:10" ht="12.75">
      <c r="A213" s="362">
        <v>39</v>
      </c>
      <c r="B213" s="344" t="s">
        <v>471</v>
      </c>
      <c r="C213" s="363"/>
      <c r="D213" s="416" t="s">
        <v>424</v>
      </c>
      <c r="E213" s="381"/>
      <c r="F213" s="362"/>
      <c r="J213" s="381"/>
    </row>
    <row r="214" spans="1:10" ht="12.75">
      <c r="A214" s="362"/>
      <c r="B214" s="344"/>
      <c r="C214" s="363"/>
      <c r="D214" s="417"/>
      <c r="E214" s="381"/>
      <c r="F214" s="362"/>
      <c r="J214" s="381"/>
    </row>
    <row r="215" spans="1:10" ht="12.75">
      <c r="A215" s="362"/>
      <c r="B215" s="344"/>
      <c r="C215" s="363"/>
      <c r="D215" s="387"/>
      <c r="E215" s="381"/>
      <c r="F215" s="362"/>
      <c r="J215" s="381"/>
    </row>
    <row r="216" spans="1:10" ht="12.75">
      <c r="A216" s="362"/>
      <c r="B216" s="344"/>
      <c r="C216" s="363"/>
      <c r="D216" s="387"/>
      <c r="E216" s="381"/>
      <c r="F216" s="362"/>
      <c r="J216" s="381"/>
    </row>
    <row r="217" spans="1:10" ht="12.75">
      <c r="A217" s="362"/>
      <c r="B217" s="344"/>
      <c r="C217" s="344"/>
      <c r="D217" s="387"/>
      <c r="E217" s="381"/>
      <c r="F217" s="362"/>
      <c r="J217" s="381"/>
    </row>
    <row r="218" spans="1:10" ht="12.75">
      <c r="A218" s="362"/>
      <c r="B218" s="344"/>
      <c r="C218" s="344"/>
      <c r="D218" s="387"/>
      <c r="E218" s="381"/>
      <c r="F218" s="362"/>
      <c r="J218" s="381"/>
    </row>
    <row r="219" spans="1:30" s="372" customFormat="1" ht="13.5" thickBot="1">
      <c r="A219" s="368"/>
      <c r="B219" s="368" t="s">
        <v>225</v>
      </c>
      <c r="C219" s="371"/>
      <c r="D219" s="382" t="s">
        <v>225</v>
      </c>
      <c r="E219" s="370" t="s">
        <v>275</v>
      </c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</row>
    <row r="220" spans="1:77" ht="12.75">
      <c r="A220" s="362"/>
      <c r="B220" s="362"/>
      <c r="C220" s="362"/>
      <c r="D220" s="387"/>
      <c r="E220" s="389"/>
      <c r="F220" s="391"/>
      <c r="G220" s="391"/>
      <c r="H220" s="391"/>
      <c r="I220" s="391"/>
      <c r="J220" s="391"/>
      <c r="K220" s="391"/>
      <c r="L220" s="391"/>
      <c r="M220" s="391"/>
      <c r="N220" s="391"/>
      <c r="O220" s="391"/>
      <c r="P220" s="391"/>
      <c r="Q220" s="391"/>
      <c r="R220" s="391"/>
      <c r="S220" s="391"/>
      <c r="T220" s="391"/>
      <c r="U220" s="391"/>
      <c r="V220" s="391"/>
      <c r="W220" s="391"/>
      <c r="X220" s="391"/>
      <c r="Y220" s="391"/>
      <c r="Z220" s="391"/>
      <c r="AA220" s="391"/>
      <c r="AB220" s="391"/>
      <c r="AC220" s="391"/>
      <c r="AD220" s="391"/>
      <c r="AE220" s="391"/>
      <c r="AF220" s="391"/>
      <c r="AG220" s="391"/>
      <c r="AH220" s="391"/>
      <c r="AI220" s="391"/>
      <c r="AJ220" s="391"/>
      <c r="AK220" s="391"/>
      <c r="AL220" s="391"/>
      <c r="AM220" s="391"/>
      <c r="AN220" s="391"/>
      <c r="AO220" s="391"/>
      <c r="AP220" s="391"/>
      <c r="AQ220" s="391"/>
      <c r="AR220" s="391"/>
      <c r="AS220" s="391"/>
      <c r="AT220" s="391"/>
      <c r="AU220" s="391"/>
      <c r="AV220" s="418"/>
      <c r="AW220" s="391"/>
      <c r="AX220" s="391"/>
      <c r="AY220" s="391"/>
      <c r="AZ220" s="391"/>
      <c r="BA220" s="391"/>
      <c r="BB220" s="391"/>
      <c r="BC220" s="391"/>
      <c r="BD220" s="391"/>
      <c r="BE220" s="391"/>
      <c r="BF220" s="391"/>
      <c r="BG220" s="391"/>
      <c r="BH220" s="391"/>
      <c r="BI220" s="391"/>
      <c r="BJ220" s="391"/>
      <c r="BK220" s="391"/>
      <c r="BL220" s="391"/>
      <c r="BM220" s="391"/>
      <c r="BN220" s="391"/>
      <c r="BO220" s="391"/>
      <c r="BP220" s="391"/>
      <c r="BQ220" s="391"/>
      <c r="BR220" s="391"/>
      <c r="BS220" s="391"/>
      <c r="BT220" s="391"/>
      <c r="BU220" s="391"/>
      <c r="BV220" s="391"/>
      <c r="BW220" s="391"/>
      <c r="BX220" s="391"/>
      <c r="BY220" s="418"/>
    </row>
    <row r="221" spans="6:77" ht="12.75">
      <c r="F221" s="391"/>
      <c r="G221" s="391"/>
      <c r="H221" s="391"/>
      <c r="I221" s="391"/>
      <c r="J221" s="391"/>
      <c r="K221" s="391"/>
      <c r="L221" s="391"/>
      <c r="M221" s="391"/>
      <c r="N221" s="391"/>
      <c r="O221" s="391"/>
      <c r="P221" s="391"/>
      <c r="Q221" s="391"/>
      <c r="R221" s="391"/>
      <c r="S221" s="391"/>
      <c r="T221" s="391"/>
      <c r="U221" s="391"/>
      <c r="V221" s="391"/>
      <c r="W221" s="391"/>
      <c r="X221" s="391"/>
      <c r="Y221" s="391"/>
      <c r="Z221" s="391"/>
      <c r="AA221" s="391"/>
      <c r="AB221" s="391"/>
      <c r="AC221" s="391"/>
      <c r="AD221" s="391"/>
      <c r="AE221" s="391"/>
      <c r="AF221" s="391"/>
      <c r="AG221" s="391"/>
      <c r="AH221" s="391"/>
      <c r="AI221" s="391"/>
      <c r="AJ221" s="391"/>
      <c r="AK221" s="391"/>
      <c r="AL221" s="391"/>
      <c r="AM221" s="391"/>
      <c r="AN221" s="391"/>
      <c r="AO221" s="391"/>
      <c r="AP221" s="391"/>
      <c r="AQ221" s="391"/>
      <c r="AR221" s="391"/>
      <c r="AS221" s="391"/>
      <c r="AT221" s="391"/>
      <c r="AU221" s="391"/>
      <c r="AV221" s="391"/>
      <c r="AW221" s="391"/>
      <c r="AX221" s="391"/>
      <c r="AY221" s="391"/>
      <c r="AZ221" s="391"/>
      <c r="BA221" s="391"/>
      <c r="BB221" s="391"/>
      <c r="BC221" s="391"/>
      <c r="BD221" s="391"/>
      <c r="BE221" s="391"/>
      <c r="BF221" s="391"/>
      <c r="BG221" s="391"/>
      <c r="BH221" s="391"/>
      <c r="BI221" s="391"/>
      <c r="BJ221" s="391"/>
      <c r="BK221" s="391"/>
      <c r="BL221" s="391"/>
      <c r="BM221" s="391"/>
      <c r="BN221" s="391"/>
      <c r="BO221" s="391"/>
      <c r="BP221" s="391"/>
      <c r="BQ221" s="391"/>
      <c r="BR221" s="391"/>
      <c r="BS221" s="391"/>
      <c r="BT221" s="391"/>
      <c r="BU221" s="391"/>
      <c r="BV221" s="391"/>
      <c r="BW221" s="391"/>
      <c r="BX221" s="391"/>
      <c r="BY221" s="391"/>
    </row>
    <row r="222" spans="4:20" ht="12.75">
      <c r="D222" s="377"/>
      <c r="F222" s="391"/>
      <c r="G222" s="391"/>
      <c r="H222" s="391"/>
      <c r="I222" s="391"/>
      <c r="J222" s="391"/>
      <c r="K222" s="391"/>
      <c r="L222" s="391"/>
      <c r="M222" s="391"/>
      <c r="N222" s="391"/>
      <c r="O222" s="391"/>
      <c r="P222" s="391"/>
      <c r="Q222" s="391"/>
      <c r="R222" s="391"/>
      <c r="S222" s="391"/>
      <c r="T222" s="391"/>
    </row>
    <row r="223" spans="6:20" ht="12.75">
      <c r="F223" s="391"/>
      <c r="G223" s="391"/>
      <c r="H223" s="391"/>
      <c r="I223" s="391"/>
      <c r="J223" s="391"/>
      <c r="K223" s="391"/>
      <c r="L223" s="391"/>
      <c r="M223" s="391"/>
      <c r="N223" s="391"/>
      <c r="O223" s="391"/>
      <c r="P223" s="391"/>
      <c r="Q223" s="391"/>
      <c r="R223" s="391"/>
      <c r="S223" s="391"/>
      <c r="T223" s="391"/>
    </row>
    <row r="224" spans="6:20" ht="12.75">
      <c r="F224" s="391"/>
      <c r="G224" s="391"/>
      <c r="H224" s="391"/>
      <c r="I224" s="391"/>
      <c r="J224" s="391"/>
      <c r="K224" s="391"/>
      <c r="L224" s="391"/>
      <c r="M224" s="391"/>
      <c r="N224" s="391"/>
      <c r="O224" s="391"/>
      <c r="P224" s="391"/>
      <c r="Q224" s="391"/>
      <c r="R224" s="391"/>
      <c r="S224" s="391"/>
      <c r="T224" s="391"/>
    </row>
    <row r="225" spans="6:20" ht="12.75">
      <c r="F225" s="391"/>
      <c r="G225" s="391"/>
      <c r="H225" s="391"/>
      <c r="I225" s="391"/>
      <c r="J225" s="391"/>
      <c r="K225" s="391"/>
      <c r="L225" s="391"/>
      <c r="M225" s="391"/>
      <c r="N225" s="391"/>
      <c r="O225" s="391"/>
      <c r="P225" s="391"/>
      <c r="Q225" s="391"/>
      <c r="R225" s="391"/>
      <c r="S225" s="391"/>
      <c r="T225" s="391"/>
    </row>
    <row r="226" spans="6:20" ht="12.75">
      <c r="F226" s="391"/>
      <c r="G226" s="391"/>
      <c r="H226" s="391"/>
      <c r="I226" s="391"/>
      <c r="J226" s="391"/>
      <c r="K226" s="391"/>
      <c r="L226" s="391"/>
      <c r="M226" s="391"/>
      <c r="N226" s="391"/>
      <c r="O226" s="391"/>
      <c r="P226" s="391"/>
      <c r="Q226" s="391"/>
      <c r="R226" s="391"/>
      <c r="S226" s="391"/>
      <c r="T226" s="391"/>
    </row>
    <row r="227" spans="6:20" ht="12.75">
      <c r="F227" s="391"/>
      <c r="G227" s="391"/>
      <c r="H227" s="391"/>
      <c r="I227" s="391"/>
      <c r="J227" s="391"/>
      <c r="K227" s="391"/>
      <c r="L227" s="391"/>
      <c r="M227" s="391"/>
      <c r="N227" s="391"/>
      <c r="O227" s="391"/>
      <c r="P227" s="391"/>
      <c r="Q227" s="391"/>
      <c r="R227" s="391"/>
      <c r="S227" s="391"/>
      <c r="T227" s="391"/>
    </row>
    <row r="228" spans="6:20" ht="12.75">
      <c r="F228" s="391"/>
      <c r="G228" s="391"/>
      <c r="H228" s="391"/>
      <c r="I228" s="391"/>
      <c r="J228" s="391"/>
      <c r="K228" s="391"/>
      <c r="L228" s="391"/>
      <c r="M228" s="391"/>
      <c r="N228" s="391"/>
      <c r="O228" s="391"/>
      <c r="P228" s="391"/>
      <c r="Q228" s="391"/>
      <c r="R228" s="391"/>
      <c r="S228" s="391"/>
      <c r="T228" s="391"/>
    </row>
    <row r="229" spans="6:20" ht="12.75">
      <c r="F229" s="391"/>
      <c r="G229" s="391"/>
      <c r="H229" s="391"/>
      <c r="I229" s="391"/>
      <c r="J229" s="391"/>
      <c r="K229" s="391"/>
      <c r="L229" s="391"/>
      <c r="M229" s="391"/>
      <c r="N229" s="391"/>
      <c r="O229" s="391"/>
      <c r="P229" s="391"/>
      <c r="Q229" s="391"/>
      <c r="R229" s="391"/>
      <c r="S229" s="391"/>
      <c r="T229" s="391"/>
    </row>
    <row r="230" spans="6:20" ht="12.75">
      <c r="F230" s="391"/>
      <c r="G230" s="391"/>
      <c r="H230" s="391"/>
      <c r="I230" s="391"/>
      <c r="J230" s="391"/>
      <c r="K230" s="391"/>
      <c r="L230" s="391"/>
      <c r="M230" s="391"/>
      <c r="N230" s="391"/>
      <c r="O230" s="391"/>
      <c r="P230" s="391"/>
      <c r="Q230" s="391"/>
      <c r="R230" s="391"/>
      <c r="S230" s="391"/>
      <c r="T230" s="391"/>
    </row>
    <row r="231" spans="6:20" ht="12.75">
      <c r="F231" s="391"/>
      <c r="G231" s="391"/>
      <c r="H231" s="391"/>
      <c r="I231" s="391"/>
      <c r="J231" s="391"/>
      <c r="K231" s="391"/>
      <c r="L231" s="391"/>
      <c r="M231" s="391"/>
      <c r="N231" s="391"/>
      <c r="O231" s="391"/>
      <c r="P231" s="391"/>
      <c r="Q231" s="391"/>
      <c r="R231" s="391"/>
      <c r="S231" s="391"/>
      <c r="T231" s="391"/>
    </row>
    <row r="232" spans="6:20" ht="12.75">
      <c r="F232" s="391"/>
      <c r="G232" s="391"/>
      <c r="H232" s="391"/>
      <c r="I232" s="391"/>
      <c r="J232" s="391"/>
      <c r="K232" s="391"/>
      <c r="L232" s="391"/>
      <c r="M232" s="391"/>
      <c r="N232" s="391"/>
      <c r="O232" s="391"/>
      <c r="P232" s="391"/>
      <c r="Q232" s="391"/>
      <c r="R232" s="391"/>
      <c r="S232" s="391"/>
      <c r="T232" s="391"/>
    </row>
    <row r="233" spans="6:20" ht="12.75">
      <c r="F233" s="391"/>
      <c r="G233" s="391"/>
      <c r="H233" s="391"/>
      <c r="I233" s="391"/>
      <c r="J233" s="391"/>
      <c r="K233" s="391"/>
      <c r="L233" s="391"/>
      <c r="M233" s="391"/>
      <c r="N233" s="391"/>
      <c r="O233" s="391"/>
      <c r="P233" s="391"/>
      <c r="Q233" s="391"/>
      <c r="R233" s="391"/>
      <c r="S233" s="391"/>
      <c r="T233" s="391"/>
    </row>
    <row r="234" spans="6:20" ht="12.75">
      <c r="F234" s="391"/>
      <c r="G234" s="391"/>
      <c r="H234" s="391"/>
      <c r="I234" s="391"/>
      <c r="J234" s="391"/>
      <c r="K234" s="391"/>
      <c r="L234" s="391"/>
      <c r="M234" s="391"/>
      <c r="N234" s="391"/>
      <c r="O234" s="391"/>
      <c r="P234" s="391"/>
      <c r="Q234" s="391"/>
      <c r="R234" s="391"/>
      <c r="S234" s="391"/>
      <c r="T234" s="391"/>
    </row>
    <row r="235" spans="6:20" ht="12.75">
      <c r="F235" s="391"/>
      <c r="G235" s="391"/>
      <c r="H235" s="391"/>
      <c r="I235" s="391"/>
      <c r="J235" s="391"/>
      <c r="K235" s="391"/>
      <c r="L235" s="391"/>
      <c r="M235" s="391"/>
      <c r="N235" s="391"/>
      <c r="O235" s="391"/>
      <c r="P235" s="391"/>
      <c r="Q235" s="391"/>
      <c r="R235" s="391"/>
      <c r="S235" s="391"/>
      <c r="T235" s="391"/>
    </row>
    <row r="236" spans="6:20" ht="12.75">
      <c r="F236" s="391"/>
      <c r="G236" s="391"/>
      <c r="H236" s="391"/>
      <c r="I236" s="391"/>
      <c r="J236" s="391"/>
      <c r="K236" s="391"/>
      <c r="L236" s="391"/>
      <c r="M236" s="391"/>
      <c r="N236" s="391"/>
      <c r="O236" s="391"/>
      <c r="P236" s="391"/>
      <c r="Q236" s="391"/>
      <c r="R236" s="391"/>
      <c r="S236" s="391"/>
      <c r="T236" s="391"/>
    </row>
    <row r="237" spans="6:20" ht="12.75">
      <c r="F237" s="391"/>
      <c r="G237" s="391"/>
      <c r="H237" s="391"/>
      <c r="I237" s="391"/>
      <c r="J237" s="391"/>
      <c r="K237" s="391"/>
      <c r="L237" s="391"/>
      <c r="M237" s="391"/>
      <c r="N237" s="391"/>
      <c r="O237" s="391"/>
      <c r="P237" s="391"/>
      <c r="Q237" s="391"/>
      <c r="R237" s="391"/>
      <c r="S237" s="391"/>
      <c r="T237" s="391"/>
    </row>
    <row r="238" spans="6:20" ht="12.75">
      <c r="F238" s="391"/>
      <c r="G238" s="391"/>
      <c r="H238" s="391"/>
      <c r="I238" s="391"/>
      <c r="J238" s="391"/>
      <c r="K238" s="391"/>
      <c r="L238" s="391"/>
      <c r="M238" s="391"/>
      <c r="N238" s="391"/>
      <c r="O238" s="391"/>
      <c r="P238" s="391"/>
      <c r="Q238" s="391"/>
      <c r="R238" s="391"/>
      <c r="S238" s="391"/>
      <c r="T238" s="391"/>
    </row>
    <row r="239" spans="6:20" ht="12.75">
      <c r="F239" s="391"/>
      <c r="G239" s="391"/>
      <c r="H239" s="391"/>
      <c r="I239" s="391"/>
      <c r="J239" s="391"/>
      <c r="K239" s="391"/>
      <c r="L239" s="391"/>
      <c r="M239" s="391"/>
      <c r="N239" s="391"/>
      <c r="O239" s="391"/>
      <c r="P239" s="391"/>
      <c r="Q239" s="391"/>
      <c r="R239" s="391"/>
      <c r="S239" s="391"/>
      <c r="T239" s="391"/>
    </row>
    <row r="240" spans="6:20" ht="12.75">
      <c r="F240" s="391"/>
      <c r="G240" s="391"/>
      <c r="H240" s="391"/>
      <c r="I240" s="391"/>
      <c r="J240" s="391"/>
      <c r="K240" s="391"/>
      <c r="L240" s="391"/>
      <c r="M240" s="391"/>
      <c r="N240" s="391"/>
      <c r="O240" s="391"/>
      <c r="P240" s="391"/>
      <c r="Q240" s="391"/>
      <c r="R240" s="391"/>
      <c r="S240" s="391"/>
      <c r="T240" s="391"/>
    </row>
    <row r="241" spans="6:20" ht="12.75">
      <c r="F241" s="391"/>
      <c r="G241" s="391"/>
      <c r="H241" s="391"/>
      <c r="I241" s="391"/>
      <c r="J241" s="391"/>
      <c r="K241" s="391"/>
      <c r="L241" s="391"/>
      <c r="M241" s="391"/>
      <c r="N241" s="391"/>
      <c r="O241" s="391"/>
      <c r="P241" s="391"/>
      <c r="Q241" s="391"/>
      <c r="R241" s="391"/>
      <c r="S241" s="391"/>
      <c r="T241" s="391"/>
    </row>
    <row r="242" spans="6:20" ht="12.75">
      <c r="F242" s="391"/>
      <c r="G242" s="391"/>
      <c r="H242" s="391"/>
      <c r="I242" s="391"/>
      <c r="J242" s="391"/>
      <c r="K242" s="391"/>
      <c r="L242" s="391"/>
      <c r="M242" s="391"/>
      <c r="N242" s="391"/>
      <c r="O242" s="391"/>
      <c r="P242" s="391"/>
      <c r="Q242" s="391"/>
      <c r="R242" s="391"/>
      <c r="S242" s="391"/>
      <c r="T242" s="391"/>
    </row>
    <row r="243" spans="6:20" ht="12.75">
      <c r="F243" s="391"/>
      <c r="G243" s="391"/>
      <c r="H243" s="391"/>
      <c r="I243" s="391"/>
      <c r="J243" s="391"/>
      <c r="K243" s="391"/>
      <c r="L243" s="391"/>
      <c r="M243" s="391"/>
      <c r="N243" s="391"/>
      <c r="O243" s="391"/>
      <c r="P243" s="391"/>
      <c r="Q243" s="391"/>
      <c r="R243" s="391"/>
      <c r="S243" s="391"/>
      <c r="T243" s="391"/>
    </row>
    <row r="244" spans="6:20" ht="12.75">
      <c r="F244" s="391"/>
      <c r="G244" s="391"/>
      <c r="H244" s="391"/>
      <c r="I244" s="391"/>
      <c r="J244" s="391"/>
      <c r="K244" s="391"/>
      <c r="L244" s="391"/>
      <c r="M244" s="391"/>
      <c r="N244" s="391"/>
      <c r="O244" s="391"/>
      <c r="P244" s="391"/>
      <c r="Q244" s="391"/>
      <c r="R244" s="391"/>
      <c r="S244" s="391"/>
      <c r="T244" s="391"/>
    </row>
    <row r="245" spans="6:20" ht="12.75">
      <c r="F245" s="391"/>
      <c r="G245" s="391"/>
      <c r="H245" s="391"/>
      <c r="I245" s="391"/>
      <c r="J245" s="391"/>
      <c r="K245" s="391"/>
      <c r="L245" s="391"/>
      <c r="M245" s="391"/>
      <c r="N245" s="391"/>
      <c r="O245" s="391"/>
      <c r="P245" s="391"/>
      <c r="Q245" s="391"/>
      <c r="R245" s="391"/>
      <c r="S245" s="391"/>
      <c r="T245" s="391"/>
    </row>
    <row r="246" spans="6:20" ht="12.75">
      <c r="F246" s="391"/>
      <c r="G246" s="391"/>
      <c r="H246" s="391"/>
      <c r="I246" s="391"/>
      <c r="J246" s="391"/>
      <c r="K246" s="391"/>
      <c r="L246" s="391"/>
      <c r="M246" s="391"/>
      <c r="N246" s="391"/>
      <c r="O246" s="391"/>
      <c r="P246" s="391"/>
      <c r="Q246" s="391"/>
      <c r="R246" s="391"/>
      <c r="S246" s="391"/>
      <c r="T246" s="391"/>
    </row>
    <row r="247" spans="6:20" ht="12.75">
      <c r="F247" s="391"/>
      <c r="G247" s="391"/>
      <c r="H247" s="391"/>
      <c r="I247" s="391"/>
      <c r="J247" s="391"/>
      <c r="K247" s="391"/>
      <c r="L247" s="391"/>
      <c r="M247" s="391"/>
      <c r="N247" s="391"/>
      <c r="O247" s="391"/>
      <c r="P247" s="391"/>
      <c r="Q247" s="391"/>
      <c r="R247" s="391"/>
      <c r="S247" s="391"/>
      <c r="T247" s="391"/>
    </row>
    <row r="248" spans="6:20" ht="12.75">
      <c r="F248" s="391"/>
      <c r="G248" s="391"/>
      <c r="H248" s="391"/>
      <c r="I248" s="391"/>
      <c r="J248" s="391"/>
      <c r="K248" s="391"/>
      <c r="L248" s="391"/>
      <c r="M248" s="391"/>
      <c r="N248" s="391"/>
      <c r="O248" s="391"/>
      <c r="P248" s="391"/>
      <c r="Q248" s="391"/>
      <c r="R248" s="391"/>
      <c r="S248" s="391"/>
      <c r="T248" s="391"/>
    </row>
    <row r="249" spans="6:20" ht="12.75">
      <c r="F249" s="391"/>
      <c r="G249" s="391"/>
      <c r="H249" s="391"/>
      <c r="I249" s="391"/>
      <c r="J249" s="391"/>
      <c r="K249" s="391"/>
      <c r="L249" s="391"/>
      <c r="M249" s="391"/>
      <c r="N249" s="391"/>
      <c r="O249" s="391"/>
      <c r="P249" s="391"/>
      <c r="Q249" s="391"/>
      <c r="R249" s="391"/>
      <c r="S249" s="391"/>
      <c r="T249" s="391"/>
    </row>
    <row r="250" spans="6:20" ht="12.75">
      <c r="F250" s="391"/>
      <c r="G250" s="391"/>
      <c r="H250" s="391"/>
      <c r="I250" s="391"/>
      <c r="J250" s="391"/>
      <c r="K250" s="391"/>
      <c r="L250" s="391"/>
      <c r="M250" s="391"/>
      <c r="N250" s="391"/>
      <c r="O250" s="391"/>
      <c r="P250" s="391"/>
      <c r="Q250" s="391"/>
      <c r="R250" s="391"/>
      <c r="S250" s="391"/>
      <c r="T250" s="391"/>
    </row>
    <row r="251" spans="6:20" ht="12.75">
      <c r="F251" s="391"/>
      <c r="G251" s="391"/>
      <c r="H251" s="391"/>
      <c r="I251" s="391"/>
      <c r="J251" s="391"/>
      <c r="K251" s="391"/>
      <c r="L251" s="391"/>
      <c r="M251" s="391"/>
      <c r="N251" s="391"/>
      <c r="O251" s="391"/>
      <c r="P251" s="391"/>
      <c r="Q251" s="391"/>
      <c r="R251" s="391"/>
      <c r="S251" s="391"/>
      <c r="T251" s="391"/>
    </row>
    <row r="252" spans="6:20" ht="12.75">
      <c r="F252" s="391"/>
      <c r="G252" s="391"/>
      <c r="H252" s="391"/>
      <c r="I252" s="391"/>
      <c r="J252" s="391"/>
      <c r="K252" s="391"/>
      <c r="L252" s="391"/>
      <c r="M252" s="391"/>
      <c r="N252" s="391"/>
      <c r="O252" s="391"/>
      <c r="P252" s="391"/>
      <c r="Q252" s="391"/>
      <c r="R252" s="391"/>
      <c r="S252" s="391"/>
      <c r="T252" s="391"/>
    </row>
    <row r="253" spans="6:20" ht="12.75">
      <c r="F253" s="391"/>
      <c r="G253" s="391"/>
      <c r="H253" s="391"/>
      <c r="I253" s="391"/>
      <c r="J253" s="391"/>
      <c r="K253" s="391"/>
      <c r="L253" s="391"/>
      <c r="M253" s="391"/>
      <c r="N253" s="391"/>
      <c r="O253" s="391"/>
      <c r="P253" s="391"/>
      <c r="Q253" s="391"/>
      <c r="R253" s="391"/>
      <c r="S253" s="391"/>
      <c r="T253" s="391"/>
    </row>
    <row r="254" spans="6:20" ht="12.75">
      <c r="F254" s="391"/>
      <c r="G254" s="391"/>
      <c r="H254" s="391"/>
      <c r="I254" s="391"/>
      <c r="J254" s="391"/>
      <c r="K254" s="391"/>
      <c r="L254" s="391"/>
      <c r="M254" s="391"/>
      <c r="N254" s="391"/>
      <c r="O254" s="391"/>
      <c r="P254" s="391"/>
      <c r="Q254" s="391"/>
      <c r="R254" s="391"/>
      <c r="S254" s="391"/>
      <c r="T254" s="391"/>
    </row>
    <row r="255" spans="6:20" ht="12.75">
      <c r="F255" s="391"/>
      <c r="G255" s="391"/>
      <c r="H255" s="391"/>
      <c r="I255" s="391"/>
      <c r="J255" s="391"/>
      <c r="K255" s="391"/>
      <c r="L255" s="391"/>
      <c r="M255" s="391"/>
      <c r="N255" s="391"/>
      <c r="O255" s="391"/>
      <c r="P255" s="391"/>
      <c r="Q255" s="391"/>
      <c r="R255" s="391"/>
      <c r="S255" s="391"/>
      <c r="T255" s="391"/>
    </row>
    <row r="256" spans="6:20" ht="12.75">
      <c r="F256" s="391"/>
      <c r="G256" s="391"/>
      <c r="H256" s="391"/>
      <c r="I256" s="391"/>
      <c r="J256" s="391"/>
      <c r="K256" s="391"/>
      <c r="L256" s="391"/>
      <c r="M256" s="391"/>
      <c r="N256" s="391"/>
      <c r="O256" s="391"/>
      <c r="P256" s="391"/>
      <c r="Q256" s="391"/>
      <c r="R256" s="391"/>
      <c r="S256" s="391"/>
      <c r="T256" s="391"/>
    </row>
    <row r="257" spans="6:20" ht="12.75">
      <c r="F257" s="391"/>
      <c r="G257" s="391"/>
      <c r="H257" s="391"/>
      <c r="I257" s="391"/>
      <c r="J257" s="391"/>
      <c r="K257" s="391"/>
      <c r="L257" s="391"/>
      <c r="M257" s="391"/>
      <c r="N257" s="391"/>
      <c r="O257" s="391"/>
      <c r="P257" s="391"/>
      <c r="Q257" s="391"/>
      <c r="R257" s="391"/>
      <c r="S257" s="391"/>
      <c r="T257" s="391"/>
    </row>
    <row r="258" spans="6:20" ht="12.75">
      <c r="F258" s="391"/>
      <c r="G258" s="391"/>
      <c r="H258" s="391"/>
      <c r="I258" s="391"/>
      <c r="J258" s="391"/>
      <c r="K258" s="391"/>
      <c r="L258" s="391"/>
      <c r="M258" s="391"/>
      <c r="N258" s="391"/>
      <c r="O258" s="391"/>
      <c r="P258" s="391"/>
      <c r="Q258" s="391"/>
      <c r="R258" s="391"/>
      <c r="S258" s="391"/>
      <c r="T258" s="391"/>
    </row>
    <row r="259" spans="6:20" ht="12.75">
      <c r="F259" s="391"/>
      <c r="G259" s="391"/>
      <c r="H259" s="391"/>
      <c r="I259" s="391"/>
      <c r="J259" s="391"/>
      <c r="K259" s="391"/>
      <c r="L259" s="391"/>
      <c r="M259" s="391"/>
      <c r="N259" s="391"/>
      <c r="O259" s="391"/>
      <c r="P259" s="391"/>
      <c r="Q259" s="391"/>
      <c r="R259" s="391"/>
      <c r="S259" s="391"/>
      <c r="T259" s="391"/>
    </row>
    <row r="260" spans="6:20" ht="12.75">
      <c r="F260" s="391"/>
      <c r="G260" s="391"/>
      <c r="H260" s="391"/>
      <c r="I260" s="391"/>
      <c r="J260" s="391"/>
      <c r="K260" s="391"/>
      <c r="L260" s="391"/>
      <c r="M260" s="391"/>
      <c r="N260" s="391"/>
      <c r="O260" s="391"/>
      <c r="P260" s="391"/>
      <c r="Q260" s="391"/>
      <c r="R260" s="391"/>
      <c r="S260" s="391"/>
      <c r="T260" s="391"/>
    </row>
    <row r="261" spans="6:20" ht="12.75">
      <c r="F261" s="391"/>
      <c r="G261" s="391"/>
      <c r="H261" s="391"/>
      <c r="I261" s="391"/>
      <c r="J261" s="391"/>
      <c r="K261" s="391"/>
      <c r="L261" s="391"/>
      <c r="M261" s="391"/>
      <c r="N261" s="391"/>
      <c r="O261" s="391"/>
      <c r="P261" s="391"/>
      <c r="Q261" s="391"/>
      <c r="R261" s="391"/>
      <c r="S261" s="391"/>
      <c r="T261" s="391"/>
    </row>
    <row r="262" spans="6:20" ht="12.75">
      <c r="F262" s="391"/>
      <c r="G262" s="391"/>
      <c r="H262" s="391"/>
      <c r="I262" s="391"/>
      <c r="J262" s="391"/>
      <c r="K262" s="391"/>
      <c r="L262" s="391"/>
      <c r="M262" s="391"/>
      <c r="N262" s="391"/>
      <c r="O262" s="391"/>
      <c r="P262" s="391"/>
      <c r="Q262" s="391"/>
      <c r="R262" s="391"/>
      <c r="S262" s="391"/>
      <c r="T262" s="391"/>
    </row>
    <row r="263" spans="6:20" ht="12.75">
      <c r="F263" s="391"/>
      <c r="G263" s="391"/>
      <c r="H263" s="391"/>
      <c r="I263" s="391"/>
      <c r="J263" s="391"/>
      <c r="K263" s="391"/>
      <c r="L263" s="391"/>
      <c r="M263" s="391"/>
      <c r="N263" s="391"/>
      <c r="O263" s="391"/>
      <c r="P263" s="391"/>
      <c r="Q263" s="391"/>
      <c r="R263" s="391"/>
      <c r="S263" s="391"/>
      <c r="T263" s="391"/>
    </row>
    <row r="264" spans="6:20" ht="12.75">
      <c r="F264" s="391"/>
      <c r="G264" s="391"/>
      <c r="H264" s="391"/>
      <c r="I264" s="391"/>
      <c r="J264" s="391"/>
      <c r="K264" s="391"/>
      <c r="L264" s="391"/>
      <c r="M264" s="391"/>
      <c r="N264" s="391"/>
      <c r="O264" s="391"/>
      <c r="P264" s="391"/>
      <c r="Q264" s="391"/>
      <c r="R264" s="391"/>
      <c r="S264" s="391"/>
      <c r="T264" s="391"/>
    </row>
    <row r="265" spans="6:20" ht="12.75">
      <c r="F265" s="391"/>
      <c r="G265" s="391"/>
      <c r="H265" s="391"/>
      <c r="I265" s="391"/>
      <c r="J265" s="391"/>
      <c r="K265" s="391"/>
      <c r="L265" s="391"/>
      <c r="M265" s="391"/>
      <c r="N265" s="391"/>
      <c r="O265" s="391"/>
      <c r="P265" s="391"/>
      <c r="Q265" s="391"/>
      <c r="R265" s="391"/>
      <c r="S265" s="391"/>
      <c r="T265" s="391"/>
    </row>
    <row r="266" spans="6:20" ht="12.75">
      <c r="F266" s="391"/>
      <c r="G266" s="391"/>
      <c r="H266" s="391"/>
      <c r="I266" s="391"/>
      <c r="J266" s="391"/>
      <c r="K266" s="391"/>
      <c r="L266" s="391"/>
      <c r="M266" s="391"/>
      <c r="N266" s="391"/>
      <c r="O266" s="391"/>
      <c r="P266" s="391"/>
      <c r="Q266" s="391"/>
      <c r="R266" s="391"/>
      <c r="S266" s="391"/>
      <c r="T266" s="391"/>
    </row>
    <row r="267" spans="6:20" ht="12.75">
      <c r="F267" s="391"/>
      <c r="G267" s="391"/>
      <c r="H267" s="391"/>
      <c r="I267" s="391"/>
      <c r="J267" s="391"/>
      <c r="K267" s="391"/>
      <c r="L267" s="391"/>
      <c r="M267" s="391"/>
      <c r="N267" s="391"/>
      <c r="O267" s="391"/>
      <c r="P267" s="391"/>
      <c r="Q267" s="391"/>
      <c r="R267" s="391"/>
      <c r="S267" s="391"/>
      <c r="T267" s="391"/>
    </row>
    <row r="268" spans="6:20" ht="12.75">
      <c r="F268" s="391"/>
      <c r="G268" s="391"/>
      <c r="H268" s="391"/>
      <c r="I268" s="391"/>
      <c r="J268" s="391"/>
      <c r="K268" s="391"/>
      <c r="L268" s="391"/>
      <c r="M268" s="391"/>
      <c r="N268" s="391"/>
      <c r="O268" s="391"/>
      <c r="P268" s="391"/>
      <c r="Q268" s="391"/>
      <c r="R268" s="391"/>
      <c r="S268" s="391"/>
      <c r="T268" s="391"/>
    </row>
    <row r="269" spans="6:20" ht="12.75">
      <c r="F269" s="391"/>
      <c r="G269" s="391"/>
      <c r="H269" s="391"/>
      <c r="I269" s="391"/>
      <c r="J269" s="391"/>
      <c r="K269" s="391"/>
      <c r="L269" s="391"/>
      <c r="M269" s="391"/>
      <c r="N269" s="391"/>
      <c r="O269" s="391"/>
      <c r="P269" s="391"/>
      <c r="Q269" s="391"/>
      <c r="R269" s="391"/>
      <c r="S269" s="391"/>
      <c r="T269" s="391"/>
    </row>
    <row r="270" spans="6:20" ht="12.75">
      <c r="F270" s="391"/>
      <c r="G270" s="391"/>
      <c r="H270" s="391"/>
      <c r="I270" s="391"/>
      <c r="J270" s="391"/>
      <c r="K270" s="391"/>
      <c r="L270" s="391"/>
      <c r="M270" s="391"/>
      <c r="N270" s="391"/>
      <c r="O270" s="391"/>
      <c r="P270" s="391"/>
      <c r="Q270" s="391"/>
      <c r="R270" s="391"/>
      <c r="S270" s="391"/>
      <c r="T270" s="391"/>
    </row>
    <row r="271" spans="6:20" ht="12.75">
      <c r="F271" s="391"/>
      <c r="G271" s="391"/>
      <c r="H271" s="391"/>
      <c r="I271" s="391"/>
      <c r="J271" s="391"/>
      <c r="K271" s="391"/>
      <c r="L271" s="391"/>
      <c r="M271" s="391"/>
      <c r="N271" s="391"/>
      <c r="O271" s="391"/>
      <c r="P271" s="391"/>
      <c r="Q271" s="391"/>
      <c r="R271" s="391"/>
      <c r="S271" s="391"/>
      <c r="T271" s="391"/>
    </row>
    <row r="272" spans="6:20" ht="12.75">
      <c r="F272" s="391"/>
      <c r="G272" s="391"/>
      <c r="H272" s="391"/>
      <c r="I272" s="391"/>
      <c r="J272" s="391"/>
      <c r="K272" s="391"/>
      <c r="L272" s="391"/>
      <c r="M272" s="391"/>
      <c r="N272" s="391"/>
      <c r="O272" s="391"/>
      <c r="P272" s="391"/>
      <c r="Q272" s="391"/>
      <c r="R272" s="391"/>
      <c r="S272" s="391"/>
      <c r="T272" s="391"/>
    </row>
    <row r="273" spans="6:20" ht="12.75">
      <c r="F273" s="391"/>
      <c r="G273" s="391"/>
      <c r="H273" s="391"/>
      <c r="I273" s="391"/>
      <c r="J273" s="391"/>
      <c r="K273" s="391"/>
      <c r="L273" s="391"/>
      <c r="M273" s="391"/>
      <c r="N273" s="391"/>
      <c r="O273" s="391"/>
      <c r="P273" s="391"/>
      <c r="Q273" s="391"/>
      <c r="R273" s="391"/>
      <c r="S273" s="391"/>
      <c r="T273" s="391"/>
    </row>
    <row r="274" spans="6:20" ht="12.75">
      <c r="F274" s="391"/>
      <c r="G274" s="391"/>
      <c r="H274" s="391"/>
      <c r="I274" s="391"/>
      <c r="J274" s="391"/>
      <c r="K274" s="391"/>
      <c r="L274" s="391"/>
      <c r="M274" s="391"/>
      <c r="N274" s="391"/>
      <c r="O274" s="391"/>
      <c r="P274" s="391"/>
      <c r="Q274" s="391"/>
      <c r="R274" s="391"/>
      <c r="S274" s="391"/>
      <c r="T274" s="391"/>
    </row>
  </sheetData>
  <sheetProtection/>
  <mergeCells count="2">
    <mergeCell ref="A36:E36"/>
    <mergeCell ref="A149:E149"/>
  </mergeCells>
  <hyperlinks>
    <hyperlink ref="A1" location="Содержание!A1" display="Вернуться к содержанию"/>
  </hyperlinks>
  <printOptions horizontalCentered="1"/>
  <pageMargins left="0.3937007874015748" right="0.3937007874015748" top="0.5905511811023623" bottom="0.3937007874015748" header="0.1968503937007874" footer="0"/>
  <pageSetup fitToHeight="3" fitToWidth="1" horizontalDpi="600" verticalDpi="600" orientation="portrait" paperSize="9" scale="56" r:id="rId3"/>
  <headerFooter alignWithMargins="0">
    <oddHeader>&amp;L&amp;D &amp;T&amp;RПодготовлено ФЭО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72"/>
  <sheetViews>
    <sheetView zoomScale="90" zoomScaleNormal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E22" sqref="E22"/>
    </sheetView>
  </sheetViews>
  <sheetFormatPr defaultColWidth="9.00390625" defaultRowHeight="12.75"/>
  <cols>
    <col min="1" max="1" width="6.375" style="2" customWidth="1"/>
    <col min="2" max="2" width="48.125" style="2" customWidth="1"/>
    <col min="3" max="9" width="13.375" style="2" bestFit="1" customWidth="1"/>
    <col min="10" max="14" width="13.00390625" style="2" bestFit="1" customWidth="1"/>
    <col min="15" max="15" width="14.125" style="2" bestFit="1" customWidth="1"/>
    <col min="16" max="16" width="14.125" style="437" bestFit="1" customWidth="1"/>
    <col min="17" max="19" width="9.125" style="36" customWidth="1"/>
    <col min="20" max="16384" width="9.125" style="2" customWidth="1"/>
  </cols>
  <sheetData>
    <row r="1" spans="1:3" ht="12.75">
      <c r="A1" s="6" t="s">
        <v>129</v>
      </c>
      <c r="C1" s="8"/>
    </row>
    <row r="2" spans="1:19" s="12" customFormat="1" ht="18.75">
      <c r="A2" s="1156" t="s">
        <v>16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548"/>
      <c r="Q2" s="69"/>
      <c r="R2" s="69"/>
      <c r="S2" s="69"/>
    </row>
    <row r="3" spans="1:19" s="12" customFormat="1" ht="13.5">
      <c r="A3" s="96"/>
      <c r="B3" s="96"/>
      <c r="C3" s="97"/>
      <c r="D3" s="97"/>
      <c r="E3" s="97"/>
      <c r="F3" s="97"/>
      <c r="G3" s="98"/>
      <c r="P3" s="548"/>
      <c r="Q3" s="69"/>
      <c r="R3" s="69"/>
      <c r="S3" s="69"/>
    </row>
    <row r="4" spans="1:19" s="12" customFormat="1" ht="13.5">
      <c r="A4" s="96"/>
      <c r="B4" s="96"/>
      <c r="C4" s="97"/>
      <c r="D4" s="97"/>
      <c r="E4" s="97"/>
      <c r="F4" s="97"/>
      <c r="G4" s="98"/>
      <c r="P4" s="548"/>
      <c r="Q4" s="69"/>
      <c r="R4" s="69"/>
      <c r="S4" s="69"/>
    </row>
    <row r="5" spans="1:19" s="12" customFormat="1" ht="19.5" customHeight="1">
      <c r="A5" s="96"/>
      <c r="B5" s="96"/>
      <c r="C5" s="97"/>
      <c r="D5" s="97"/>
      <c r="E5" s="97"/>
      <c r="F5" s="97"/>
      <c r="G5" s="98"/>
      <c r="P5" s="548"/>
      <c r="Q5" s="69"/>
      <c r="R5" s="69"/>
      <c r="S5" s="69"/>
    </row>
    <row r="6" spans="1:19" s="94" customFormat="1" ht="12.75" customHeight="1">
      <c r="A6" s="1147" t="s">
        <v>255</v>
      </c>
      <c r="B6" s="1150" t="s">
        <v>102</v>
      </c>
      <c r="C6" s="1121">
        <f>D6-1</f>
        <v>2005</v>
      </c>
      <c r="D6" s="1129">
        <f>Параметры!D3</f>
        <v>2006</v>
      </c>
      <c r="E6" s="1130"/>
      <c r="F6" s="1130"/>
      <c r="G6" s="1131"/>
      <c r="H6" s="1133">
        <f>D6+1</f>
        <v>2007</v>
      </c>
      <c r="I6" s="1133">
        <f aca="true" t="shared" si="0" ref="I6:O6">H6+1</f>
        <v>2008</v>
      </c>
      <c r="J6" s="1133">
        <f t="shared" si="0"/>
        <v>2009</v>
      </c>
      <c r="K6" s="1133">
        <f t="shared" si="0"/>
        <v>2010</v>
      </c>
      <c r="L6" s="1133">
        <f t="shared" si="0"/>
        <v>2011</v>
      </c>
      <c r="M6" s="1133">
        <f t="shared" si="0"/>
        <v>2012</v>
      </c>
      <c r="N6" s="1133">
        <f t="shared" si="0"/>
        <v>2013</v>
      </c>
      <c r="O6" s="1133">
        <f t="shared" si="0"/>
        <v>2014</v>
      </c>
      <c r="P6" s="546"/>
      <c r="Q6" s="546"/>
      <c r="R6" s="546"/>
      <c r="S6" s="546"/>
    </row>
    <row r="7" spans="1:19" s="94" customFormat="1" ht="12.75">
      <c r="A7" s="1148"/>
      <c r="B7" s="1151"/>
      <c r="C7" s="1122"/>
      <c r="D7" s="763" t="s">
        <v>725</v>
      </c>
      <c r="E7" s="763" t="s">
        <v>726</v>
      </c>
      <c r="F7" s="763" t="s">
        <v>727</v>
      </c>
      <c r="G7" s="763" t="s">
        <v>728</v>
      </c>
      <c r="H7" s="1134"/>
      <c r="I7" s="1134"/>
      <c r="J7" s="1134"/>
      <c r="K7" s="1134"/>
      <c r="L7" s="1134"/>
      <c r="M7" s="1134"/>
      <c r="N7" s="1134"/>
      <c r="O7" s="1134"/>
      <c r="P7" s="644"/>
      <c r="Q7" s="546"/>
      <c r="R7" s="546"/>
      <c r="S7" s="546"/>
    </row>
    <row r="8" spans="1:19" s="93" customFormat="1" ht="12.75" customHeight="1">
      <c r="A8" s="11">
        <v>1</v>
      </c>
      <c r="B8" s="54">
        <f aca="true" t="shared" si="1" ref="B8:O8">A8+1</f>
        <v>2</v>
      </c>
      <c r="C8" s="54">
        <f t="shared" si="1"/>
        <v>3</v>
      </c>
      <c r="D8" s="11">
        <f t="shared" si="1"/>
        <v>4</v>
      </c>
      <c r="E8" s="54">
        <f t="shared" si="1"/>
        <v>5</v>
      </c>
      <c r="F8" s="54">
        <f t="shared" si="1"/>
        <v>6</v>
      </c>
      <c r="G8" s="54">
        <f t="shared" si="1"/>
        <v>7</v>
      </c>
      <c r="H8" s="54">
        <f t="shared" si="1"/>
        <v>8</v>
      </c>
      <c r="I8" s="54">
        <f t="shared" si="1"/>
        <v>9</v>
      </c>
      <c r="J8" s="54">
        <f t="shared" si="1"/>
        <v>10</v>
      </c>
      <c r="K8" s="54">
        <f t="shared" si="1"/>
        <v>11</v>
      </c>
      <c r="L8" s="54">
        <f t="shared" si="1"/>
        <v>12</v>
      </c>
      <c r="M8" s="54">
        <f t="shared" si="1"/>
        <v>13</v>
      </c>
      <c r="N8" s="54">
        <f t="shared" si="1"/>
        <v>14</v>
      </c>
      <c r="O8" s="54">
        <f t="shared" si="1"/>
        <v>15</v>
      </c>
      <c r="P8" s="547"/>
      <c r="Q8" s="68"/>
      <c r="R8" s="68"/>
      <c r="S8" s="68"/>
    </row>
    <row r="9" spans="1:16" s="269" customFormat="1" ht="12.75">
      <c r="A9" s="267" t="s">
        <v>414</v>
      </c>
      <c r="B9" s="268" t="str">
        <f>VLOOKUP(A9,Справочники!$B:$F,3,FALSE)</f>
        <v>АКТИВЫ</v>
      </c>
      <c r="C9" s="270"/>
      <c r="D9" s="279"/>
      <c r="E9" s="657"/>
      <c r="F9" s="271"/>
      <c r="G9" s="271"/>
      <c r="H9" s="271"/>
      <c r="I9" s="271"/>
      <c r="J9" s="271"/>
      <c r="K9" s="271"/>
      <c r="L9" s="271"/>
      <c r="M9" s="271"/>
      <c r="N9" s="271"/>
      <c r="O9" s="272"/>
      <c r="P9" s="645"/>
    </row>
    <row r="10" spans="1:19" s="1" customFormat="1" ht="12.75">
      <c r="A10" s="253" t="s">
        <v>415</v>
      </c>
      <c r="B10" s="260" t="str">
        <f>VLOOKUP(A10,Справочники!$B:$F,3,FALSE)</f>
        <v>ТЕКУЩИЕ АКТИВЫ</v>
      </c>
      <c r="C10" s="88"/>
      <c r="D10" s="280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7"/>
      <c r="P10" s="646"/>
      <c r="Q10" s="334"/>
      <c r="R10" s="334"/>
      <c r="S10" s="334"/>
    </row>
    <row r="11" spans="1:16" ht="12.75">
      <c r="A11" s="255" t="s">
        <v>416</v>
      </c>
      <c r="B11" s="259" t="str">
        <f>VLOOKUP(A11,Справочники!$B:$F,3,FALSE)</f>
        <v>Денежные средства</v>
      </c>
      <c r="C11" s="549">
        <f>ОДДС!C63</f>
        <v>0</v>
      </c>
      <c r="D11" s="281">
        <f>ОДДС!D63</f>
        <v>71606.7500324581</v>
      </c>
      <c r="E11" s="83">
        <f>ОДДС!E63</f>
        <v>-288558.6327802153</v>
      </c>
      <c r="F11" s="83">
        <f>ОДДС!F63</f>
        <v>1086869.0977723696</v>
      </c>
      <c r="G11" s="83">
        <f>ОДДС!G63</f>
        <v>779879.2768492409</v>
      </c>
      <c r="H11" s="83">
        <f>ОДДС!H63</f>
        <v>1030162.8076138673</v>
      </c>
      <c r="I11" s="83">
        <f>ОДДС!I63</f>
        <v>4567363.453393579</v>
      </c>
      <c r="J11" s="83">
        <f>ОДДС!J63</f>
        <v>13963002.822158057</v>
      </c>
      <c r="K11" s="83">
        <f>ОДДС!K63</f>
        <v>15360574.143142218</v>
      </c>
      <c r="L11" s="83">
        <f>ОДДС!L63</f>
        <v>19253866.148994133</v>
      </c>
      <c r="M11" s="83">
        <f>ОДДС!M63</f>
        <v>19138758.00971808</v>
      </c>
      <c r="N11" s="83">
        <f>ОДДС!N63</f>
        <v>19039860.01030219</v>
      </c>
      <c r="O11" s="84">
        <f>ОДДС!O63</f>
        <v>18969269.68499304</v>
      </c>
      <c r="P11" s="643"/>
    </row>
    <row r="12" spans="1:16" ht="12.75">
      <c r="A12" s="255" t="s">
        <v>417</v>
      </c>
      <c r="B12" s="259" t="str">
        <f>VLOOKUP(A12,Справочники!$B:$F,3,FALSE)</f>
        <v>Финансовые вложения</v>
      </c>
      <c r="C12" s="549">
        <f>БФД!C129</f>
        <v>0</v>
      </c>
      <c r="D12" s="281">
        <f>БФД!D129</f>
        <v>0</v>
      </c>
      <c r="E12" s="83">
        <f>БФД!E129</f>
        <v>0</v>
      </c>
      <c r="F12" s="83">
        <f>БФД!F129</f>
        <v>0</v>
      </c>
      <c r="G12" s="83">
        <f>БФД!G129</f>
        <v>0</v>
      </c>
      <c r="H12" s="83">
        <f>БФД!H129</f>
        <v>0</v>
      </c>
      <c r="I12" s="83">
        <f>БФД!I129</f>
        <v>0</v>
      </c>
      <c r="J12" s="83">
        <f>БФД!J129</f>
        <v>0</v>
      </c>
      <c r="K12" s="83">
        <f>БФД!K129</f>
        <v>0</v>
      </c>
      <c r="L12" s="83">
        <f>БФД!L129</f>
        <v>0</v>
      </c>
      <c r="M12" s="83">
        <f>БФД!M129</f>
        <v>0</v>
      </c>
      <c r="N12" s="83">
        <f>БФД!N129</f>
        <v>0</v>
      </c>
      <c r="O12" s="84">
        <f>БФД!O129</f>
        <v>0</v>
      </c>
      <c r="P12" s="643"/>
    </row>
    <row r="13" spans="1:16" ht="12.75">
      <c r="A13" s="255" t="s">
        <v>421</v>
      </c>
      <c r="B13" s="259" t="str">
        <f>VLOOKUP(A13,Справочники!$B:$F,3,FALSE)</f>
        <v>Дебиторская задолженность </v>
      </c>
      <c r="C13" s="281">
        <f>Дебиторы!C14</f>
        <v>552.6770293609673</v>
      </c>
      <c r="D13" s="281">
        <f>Дебиторы!D14</f>
        <v>211947.39726027398</v>
      </c>
      <c r="E13" s="83">
        <f>Дебиторы!E14</f>
        <v>495478.76712328766</v>
      </c>
      <c r="F13" s="83">
        <f>Дебиторы!F14</f>
        <v>588399.7260273972</v>
      </c>
      <c r="G13" s="83">
        <f>Дебиторы!G14</f>
        <v>619629.3150684931</v>
      </c>
      <c r="H13" s="83">
        <f>Дебиторы!H14</f>
        <v>2285199.315068493</v>
      </c>
      <c r="I13" s="83">
        <f>Дебиторы!I14</f>
        <v>5430586.301369864</v>
      </c>
      <c r="J13" s="83">
        <f>Дебиторы!J14</f>
        <v>9342367.123287672</v>
      </c>
      <c r="K13" s="83">
        <f>Дебиторы!K14</f>
        <v>5882219.178082191</v>
      </c>
      <c r="L13" s="83">
        <f>Дебиторы!L14</f>
        <v>0</v>
      </c>
      <c r="M13" s="83">
        <f>Дебиторы!M14</f>
        <v>0</v>
      </c>
      <c r="N13" s="83">
        <f>Дебиторы!N14</f>
        <v>0</v>
      </c>
      <c r="O13" s="84">
        <f>Дебиторы!O14</f>
        <v>0</v>
      </c>
      <c r="P13" s="643"/>
    </row>
    <row r="14" spans="1:16" ht="12.75">
      <c r="A14" s="255" t="s">
        <v>425</v>
      </c>
      <c r="B14" s="259" t="str">
        <f>VLOOKUP(A14,Справочники!$B:$F,3,FALSE)</f>
        <v>НДС к возмещению из бюджета</v>
      </c>
      <c r="C14" s="281">
        <f>IF(НДС!C71&lt;0,-НДС!C71,0)</f>
        <v>49464.594127806566</v>
      </c>
      <c r="D14" s="281">
        <f>IF(НДС!D71&lt;0,-НДС!D71,0)</f>
        <v>8296.412558870099</v>
      </c>
      <c r="E14" s="83">
        <f>IF(НДС!E71&lt;0,-НДС!E71,0)</f>
        <v>23794.829271198832</v>
      </c>
      <c r="F14" s="83">
        <f>IF(НДС!F71&lt;0,-НДС!F71,0)</f>
        <v>10645.781876777677</v>
      </c>
      <c r="G14" s="83">
        <f>IF(НДС!G71&lt;0,-НДС!G71,0)</f>
        <v>5607.604068558518</v>
      </c>
      <c r="H14" s="83">
        <f>IF(НДС!H71&lt;0,-НДС!H71,0)</f>
        <v>0</v>
      </c>
      <c r="I14" s="83">
        <f>IF(НДС!I71&lt;0,-НДС!I71,0)</f>
        <v>0</v>
      </c>
      <c r="J14" s="83">
        <f>IF(НДС!J71&lt;0,-НДС!J71,0)</f>
        <v>0</v>
      </c>
      <c r="K14" s="83">
        <f>IF(НДС!K71&lt;0,-НДС!K71,0)</f>
        <v>0</v>
      </c>
      <c r="L14" s="83">
        <f>IF(НДС!L71&lt;0,-НДС!L71,0)</f>
        <v>0</v>
      </c>
      <c r="M14" s="83">
        <f>IF(НДС!M71&lt;0,-НДС!M71,0)</f>
        <v>6590.666357093105</v>
      </c>
      <c r="N14" s="83">
        <f>IF(НДС!N71&lt;0,-НДС!N71,0)</f>
        <v>10808.692825632692</v>
      </c>
      <c r="O14" s="84">
        <f>IF(НДС!O71&lt;0,-НДС!O71,0)</f>
        <v>10808.692825632692</v>
      </c>
      <c r="P14" s="643"/>
    </row>
    <row r="15" spans="1:16" ht="12.75">
      <c r="A15" s="255" t="s">
        <v>426</v>
      </c>
      <c r="B15" s="259" t="str">
        <f>VLOOKUP(A15,Справочники!$B:$F,3,FALSE)</f>
        <v>Товарно-материальные запасы</v>
      </c>
      <c r="C15" s="281">
        <f>'План закупок '!D14</f>
        <v>427392.05526770296</v>
      </c>
      <c r="D15" s="281">
        <f>'План закупок '!E14</f>
        <v>20350</v>
      </c>
      <c r="E15" s="83">
        <f>'План закупок '!F14</f>
        <v>30500</v>
      </c>
      <c r="F15" s="83">
        <f>'План закупок '!G14</f>
        <v>35600</v>
      </c>
      <c r="G15" s="83">
        <f>'План закупок '!H14</f>
        <v>120000</v>
      </c>
      <c r="H15" s="83">
        <f>'План закупок '!I14</f>
        <v>298000</v>
      </c>
      <c r="I15" s="83">
        <f>'План закупок '!J14</f>
        <v>400000</v>
      </c>
      <c r="J15" s="83">
        <f>'План закупок '!K14</f>
        <v>0</v>
      </c>
      <c r="K15" s="83">
        <f>'План закупок '!L14</f>
        <v>0</v>
      </c>
      <c r="L15" s="83">
        <f>'План закупок '!M14</f>
        <v>0</v>
      </c>
      <c r="M15" s="83">
        <f>'План закупок '!N14</f>
        <v>0</v>
      </c>
      <c r="N15" s="83">
        <f>'План закупок '!O14</f>
        <v>0</v>
      </c>
      <c r="O15" s="84">
        <f>'План закупок '!P14</f>
        <v>0</v>
      </c>
      <c r="P15" s="643"/>
    </row>
    <row r="16" spans="1:16" ht="12.75" collapsed="1">
      <c r="A16" s="255" t="s">
        <v>427</v>
      </c>
      <c r="B16" s="259" t="str">
        <f>VLOOKUP(A16,Справочники!$B:$F,3,FALSE)</f>
        <v>НДС по приобретенным товарам и услугам</v>
      </c>
      <c r="C16" s="281">
        <f>НДС!C45+НДС!C32</f>
        <v>13402.417962003454</v>
      </c>
      <c r="D16" s="281">
        <f>НДС!D45+НДС!D32</f>
        <v>2058.121821367218</v>
      </c>
      <c r="E16" s="83">
        <f>НДС!E45+НДС!E32</f>
        <v>36234.99305424391</v>
      </c>
      <c r="F16" s="83">
        <f>НДС!F45+НДС!F32</f>
        <v>54908.16401030889</v>
      </c>
      <c r="G16" s="83">
        <f>НДС!G45+НДС!G32</f>
        <v>84067.91743496642</v>
      </c>
      <c r="H16" s="83">
        <f>НДС!H45+НДС!H32</f>
        <v>222244.07615333167</v>
      </c>
      <c r="I16" s="83">
        <f>НДС!I45+НДС!I32</f>
        <v>350744.84411246795</v>
      </c>
      <c r="J16" s="83">
        <f>НДС!J45+НДС!J32</f>
        <v>482691.5726938471</v>
      </c>
      <c r="K16" s="83">
        <f>НДС!K45+НДС!K32</f>
        <v>251634.84643426968</v>
      </c>
      <c r="L16" s="83">
        <f>НДС!L45+НДС!L32</f>
        <v>75587.90889073588</v>
      </c>
      <c r="M16" s="83">
        <f>НДС!M45+НДС!M32</f>
        <v>68997.24253364277</v>
      </c>
      <c r="N16" s="83">
        <f>НДС!N45+НДС!N32</f>
        <v>64779.21606510319</v>
      </c>
      <c r="O16" s="84">
        <f>НДС!O45+НДС!O32</f>
        <v>64779.21606510319</v>
      </c>
      <c r="P16" s="643"/>
    </row>
    <row r="17" spans="1:19" s="42" customFormat="1" ht="12.75">
      <c r="A17" s="254"/>
      <c r="B17" s="337" t="s">
        <v>399</v>
      </c>
      <c r="C17" s="338">
        <f>SUM(C11:C16)</f>
        <v>490811.74438687396</v>
      </c>
      <c r="D17" s="338">
        <f>SUM(D11:D16)</f>
        <v>314258.6816729694</v>
      </c>
      <c r="E17" s="339">
        <f aca="true" t="shared" si="2" ref="E17:O17">SUM(E11:E16)</f>
        <v>297449.9566685151</v>
      </c>
      <c r="F17" s="339">
        <f t="shared" si="2"/>
        <v>1776422.7696868535</v>
      </c>
      <c r="G17" s="339">
        <f t="shared" si="2"/>
        <v>1609184.113421259</v>
      </c>
      <c r="H17" s="339">
        <f t="shared" si="2"/>
        <v>3835606.1988356924</v>
      </c>
      <c r="I17" s="339">
        <f t="shared" si="2"/>
        <v>10748694.59887591</v>
      </c>
      <c r="J17" s="339">
        <f t="shared" si="2"/>
        <v>23788061.51813958</v>
      </c>
      <c r="K17" s="339">
        <f t="shared" si="2"/>
        <v>21494428.16765868</v>
      </c>
      <c r="L17" s="339">
        <f t="shared" si="2"/>
        <v>19329454.05788487</v>
      </c>
      <c r="M17" s="339">
        <f t="shared" si="2"/>
        <v>19214345.918608814</v>
      </c>
      <c r="N17" s="339">
        <f t="shared" si="2"/>
        <v>19115447.919192925</v>
      </c>
      <c r="O17" s="340">
        <f t="shared" si="2"/>
        <v>19044857.593883775</v>
      </c>
      <c r="P17" s="647"/>
      <c r="Q17" s="648"/>
      <c r="R17" s="648"/>
      <c r="S17" s="648"/>
    </row>
    <row r="18" spans="1:19" s="1" customFormat="1" ht="12.75">
      <c r="A18" s="253" t="s">
        <v>429</v>
      </c>
      <c r="B18" s="260" t="str">
        <f>VLOOKUP(A18,Справочники!$B:$F,3,FALSE)</f>
        <v>ДОЛГОСРОЧНЫЕ АКТИВЫ</v>
      </c>
      <c r="C18" s="552"/>
      <c r="D18" s="282"/>
      <c r="E18" s="80"/>
      <c r="F18" s="80"/>
      <c r="G18" s="80"/>
      <c r="H18" s="83">
        <f>БФД!H139</f>
        <v>0</v>
      </c>
      <c r="I18" s="80"/>
      <c r="J18" s="80"/>
      <c r="K18" s="80"/>
      <c r="L18" s="80"/>
      <c r="M18" s="80"/>
      <c r="N18" s="80"/>
      <c r="O18" s="81"/>
      <c r="P18" s="646"/>
      <c r="Q18" s="334"/>
      <c r="R18" s="334"/>
      <c r="S18" s="334"/>
    </row>
    <row r="19" spans="1:16" ht="12.75">
      <c r="A19" s="255" t="s">
        <v>430</v>
      </c>
      <c r="B19" s="259" t="str">
        <f>VLOOKUP(A19,Справочники!$B:$F,3,FALSE)</f>
        <v>Основные средства</v>
      </c>
      <c r="C19" s="550">
        <f>'Расчет АМО'!C22</f>
        <v>107395.61312607945</v>
      </c>
      <c r="D19" s="281">
        <f>'Расчет АМО'!D22</f>
        <v>107395.61312607945</v>
      </c>
      <c r="E19" s="83">
        <f>'Расчет АМО'!E22</f>
        <v>108395.61312607945</v>
      </c>
      <c r="F19" s="83">
        <f>'Расчет АМО'!F22</f>
        <v>109395.61312607945</v>
      </c>
      <c r="G19" s="83">
        <f>'Расчет АМО'!G22</f>
        <v>110395.61312607945</v>
      </c>
      <c r="H19" s="83">
        <f>'Расчет АМО'!H22</f>
        <v>111395.61312607945</v>
      </c>
      <c r="I19" s="83">
        <f>'Расчет АМО'!I22</f>
        <v>561395.6131260794</v>
      </c>
      <c r="J19" s="83">
        <f>'Расчет АМО'!J22</f>
        <v>1111395.6131260796</v>
      </c>
      <c r="K19" s="83">
        <f>'Расчет АМО'!K22</f>
        <v>1761395.6131260796</v>
      </c>
      <c r="L19" s="83">
        <f>'Расчет АМО'!L22</f>
        <v>1761395.6131260796</v>
      </c>
      <c r="M19" s="83">
        <f>'Расчет АМО'!M22</f>
        <v>1761395.6131260796</v>
      </c>
      <c r="N19" s="83">
        <f>'Расчет АМО'!N22</f>
        <v>1761395.6131260796</v>
      </c>
      <c r="O19" s="84">
        <f>'Расчет АМО'!O22</f>
        <v>1761395.6131260796</v>
      </c>
      <c r="P19" s="643"/>
    </row>
    <row r="20" spans="1:16" ht="12.75">
      <c r="A20" s="255" t="s">
        <v>431</v>
      </c>
      <c r="B20" s="259" t="str">
        <f>VLOOKUP(A20,Справочники!$B:$F,3,FALSE)</f>
        <v>   Накопленный износ ОС (вычитается)</v>
      </c>
      <c r="C20" s="550">
        <f>-'Расчет АМО'!C27</f>
        <v>-23695.751295336788</v>
      </c>
      <c r="D20" s="281">
        <f>-'Расчет АМО'!D27</f>
        <v>-23803.146908462866</v>
      </c>
      <c r="E20" s="83">
        <f>-'Расчет АМО'!E27</f>
        <v>-23911.542521588945</v>
      </c>
      <c r="F20" s="83">
        <f>-'Расчет АМО'!F27</f>
        <v>-24020.938134715023</v>
      </c>
      <c r="G20" s="83">
        <f>-'Расчет АМО'!G27</f>
        <v>-24131.3337478411</v>
      </c>
      <c r="H20" s="83">
        <f>-'Расчет АМО'!H27</f>
        <v>-24576.91620034542</v>
      </c>
      <c r="I20" s="83">
        <f>-'Расчет АМО'!I27</f>
        <v>-26822.498652849736</v>
      </c>
      <c r="J20" s="83">
        <f>-'Расчет АМО'!J27</f>
        <v>-31268.081105354053</v>
      </c>
      <c r="K20" s="83">
        <f>-'Расчет АМО'!K27</f>
        <v>-38313.663557858374</v>
      </c>
      <c r="L20" s="83">
        <f>-'Расчет АМО'!L27</f>
        <v>-45359.246010362695</v>
      </c>
      <c r="M20" s="83">
        <f>-'Расчет АМО'!M27</f>
        <v>-52404.828462867015</v>
      </c>
      <c r="N20" s="83">
        <f>-'Расчет АМО'!N27</f>
        <v>-59450.410915371336</v>
      </c>
      <c r="O20" s="84">
        <f>-'Расчет АМО'!O27</f>
        <v>-66495.99336787565</v>
      </c>
      <c r="P20" s="643"/>
    </row>
    <row r="21" spans="1:16" ht="12.75">
      <c r="A21" s="255" t="s">
        <v>432</v>
      </c>
      <c r="B21" s="259" t="str">
        <f>VLOOKUP(A21,Справочники!$B:$F,3,FALSE)</f>
        <v>Нематериальные активы</v>
      </c>
      <c r="C21" s="550">
        <f>'Расчет АМО'!C33</f>
        <v>1233.1606217616581</v>
      </c>
      <c r="D21" s="281">
        <f>'Расчет АМО'!D33</f>
        <v>1233.1606217616581</v>
      </c>
      <c r="E21" s="83">
        <f>'Расчет АМО'!E33</f>
        <v>1233.1606217616581</v>
      </c>
      <c r="F21" s="83">
        <f>'Расчет АМО'!F33</f>
        <v>1233.1606217616581</v>
      </c>
      <c r="G21" s="83">
        <f>'Расчет АМО'!G33</f>
        <v>361233.16062176164</v>
      </c>
      <c r="H21" s="83">
        <f>'Расчет АМО'!H33</f>
        <v>361233.16062176164</v>
      </c>
      <c r="I21" s="83">
        <f>'Расчет АМО'!I33</f>
        <v>361233.16062176164</v>
      </c>
      <c r="J21" s="83">
        <f>'Расчет АМО'!J33</f>
        <v>361233.16062176164</v>
      </c>
      <c r="K21" s="83">
        <f>'Расчет АМО'!K33</f>
        <v>361233.16062176164</v>
      </c>
      <c r="L21" s="83">
        <f>'Расчет АМО'!L33</f>
        <v>361233.16062176164</v>
      </c>
      <c r="M21" s="83">
        <f>'Расчет АМО'!M33</f>
        <v>361233.16062176164</v>
      </c>
      <c r="N21" s="83">
        <f>'Расчет АМО'!N33</f>
        <v>361233.16062176164</v>
      </c>
      <c r="O21" s="84">
        <f>'Расчет АМО'!O33</f>
        <v>361233.16062176164</v>
      </c>
      <c r="P21" s="643"/>
    </row>
    <row r="22" spans="1:16" ht="12.75">
      <c r="A22" s="255" t="s">
        <v>433</v>
      </c>
      <c r="B22" s="259" t="str">
        <f>VLOOKUP(A22,Справочники!$B:$F,3,FALSE)</f>
        <v>   Накопленная амортизация (вычитается)</v>
      </c>
      <c r="C22" s="550">
        <f>-'Расчет АМО'!C38</f>
        <v>-124.35233160621762</v>
      </c>
      <c r="D22" s="281">
        <f>-'Расчет АМО'!D38</f>
        <v>-155.18134715025906</v>
      </c>
      <c r="E22" s="83">
        <f>-'Расчет АМО'!E38</f>
        <v>-186.0103626943005</v>
      </c>
      <c r="F22" s="83">
        <f>-'Расчет АМО'!F38</f>
        <v>-216.83937823834196</v>
      </c>
      <c r="G22" s="83">
        <f>-'Расчет АМО'!G38</f>
        <v>-470.91968911917104</v>
      </c>
      <c r="H22" s="83">
        <f>-'Расчет АМО'!H38</f>
        <v>-36594.23575129533</v>
      </c>
      <c r="I22" s="83">
        <f>-'Расчет АМО'!I38</f>
        <v>-72717.5518134715</v>
      </c>
      <c r="J22" s="83">
        <f>-'Расчет АМО'!J38</f>
        <v>-108840.86787564766</v>
      </c>
      <c r="K22" s="83">
        <f>-'Расчет АМО'!K38</f>
        <v>-144964.1839378238</v>
      </c>
      <c r="L22" s="83">
        <f>-'Расчет АМО'!L38</f>
        <v>-181087.49999999997</v>
      </c>
      <c r="M22" s="83">
        <f>-'Расчет АМО'!M38</f>
        <v>-217210.81606217613</v>
      </c>
      <c r="N22" s="83">
        <f>-'Расчет АМО'!N38</f>
        <v>-253334.1321243523</v>
      </c>
      <c r="O22" s="84">
        <f>-'Расчет АМО'!O38</f>
        <v>-289457.44818652846</v>
      </c>
      <c r="P22" s="643"/>
    </row>
    <row r="23" spans="1:16" ht="12.75">
      <c r="A23" s="255" t="s">
        <v>434</v>
      </c>
      <c r="B23" s="259" t="str">
        <f>VLOOKUP(A23,Справочники!$B:$F,3,FALSE)</f>
        <v>Незавершенные капитальные вложения</v>
      </c>
      <c r="C23" s="550">
        <f>'Расчет АМО'!C17</f>
        <v>664936.0967184801</v>
      </c>
      <c r="D23" s="281">
        <f>'Расчет АМО'!D17</f>
        <v>665936.0967184801</v>
      </c>
      <c r="E23" s="83">
        <f>'Расчет АМО'!E17</f>
        <v>810936.0967184801</v>
      </c>
      <c r="F23" s="83">
        <f>'Расчет АМО'!F17</f>
        <v>875436.0967184801</v>
      </c>
      <c r="G23" s="83">
        <f>'Расчет АМО'!G17</f>
        <v>665936.0967184801</v>
      </c>
      <c r="H23" s="83">
        <f>'Расчет АМО'!H17</f>
        <v>1114936.09671848</v>
      </c>
      <c r="I23" s="83">
        <f>'Расчет АМО'!I17</f>
        <v>1214936.09671848</v>
      </c>
      <c r="J23" s="83">
        <f>'Расчет АМО'!J17</f>
        <v>1314936.09671848</v>
      </c>
      <c r="K23" s="83">
        <f>'Расчет АМО'!K17</f>
        <v>664936.0967184801</v>
      </c>
      <c r="L23" s="83">
        <f>'Расчет АМО'!L17</f>
        <v>664936.0967184801</v>
      </c>
      <c r="M23" s="83">
        <f>'Расчет АМО'!M17</f>
        <v>664936.0967184801</v>
      </c>
      <c r="N23" s="83">
        <f>'Расчет АМО'!N17</f>
        <v>664936.0967184801</v>
      </c>
      <c r="O23" s="84">
        <f>'Расчет АМО'!O17</f>
        <v>664936.0967184801</v>
      </c>
      <c r="P23" s="643"/>
    </row>
    <row r="24" spans="1:19" s="42" customFormat="1" ht="12.75">
      <c r="A24" s="254"/>
      <c r="B24" s="337" t="s">
        <v>403</v>
      </c>
      <c r="C24" s="551">
        <f>SUM(C19:C23)</f>
        <v>749744.7668393783</v>
      </c>
      <c r="D24" s="338">
        <f>SUM(D19:D23)</f>
        <v>750606.5422107081</v>
      </c>
      <c r="E24" s="339">
        <f aca="true" t="shared" si="3" ref="E24:O24">SUM(E19:E23)</f>
        <v>896467.317582038</v>
      </c>
      <c r="F24" s="339">
        <f t="shared" si="3"/>
        <v>961827.0929533679</v>
      </c>
      <c r="G24" s="339">
        <f t="shared" si="3"/>
        <v>1112962.617029361</v>
      </c>
      <c r="H24" s="339">
        <f t="shared" si="3"/>
        <v>1526393.7185146804</v>
      </c>
      <c r="I24" s="339">
        <f t="shared" si="3"/>
        <v>2038024.8199999998</v>
      </c>
      <c r="J24" s="339">
        <f t="shared" si="3"/>
        <v>2647455.9214853197</v>
      </c>
      <c r="K24" s="339">
        <f t="shared" si="3"/>
        <v>2604287.022970639</v>
      </c>
      <c r="L24" s="339">
        <f t="shared" si="3"/>
        <v>2561118.1244559586</v>
      </c>
      <c r="M24" s="339">
        <f t="shared" si="3"/>
        <v>2517949.225941278</v>
      </c>
      <c r="N24" s="339">
        <f t="shared" si="3"/>
        <v>2474780.3274265975</v>
      </c>
      <c r="O24" s="340">
        <f t="shared" si="3"/>
        <v>2431611.428911917</v>
      </c>
      <c r="P24" s="647"/>
      <c r="Q24" s="648"/>
      <c r="R24" s="648"/>
      <c r="S24" s="648"/>
    </row>
    <row r="25" spans="1:19" s="45" customFormat="1" ht="12.75">
      <c r="A25" s="263"/>
      <c r="B25" s="260" t="s">
        <v>472</v>
      </c>
      <c r="C25" s="553">
        <f>C17+C24</f>
        <v>1240556.5112262522</v>
      </c>
      <c r="D25" s="280">
        <f>D17+D24</f>
        <v>1064865.2238836775</v>
      </c>
      <c r="E25" s="86">
        <f aca="true" t="shared" si="4" ref="E25:O25">E17+E24</f>
        <v>1193917.274250553</v>
      </c>
      <c r="F25" s="86">
        <f t="shared" si="4"/>
        <v>2738249.8626402216</v>
      </c>
      <c r="G25" s="86">
        <f t="shared" si="4"/>
        <v>2722146.73045062</v>
      </c>
      <c r="H25" s="86">
        <f t="shared" si="4"/>
        <v>5361999.917350372</v>
      </c>
      <c r="I25" s="86">
        <f t="shared" si="4"/>
        <v>12786719.41887591</v>
      </c>
      <c r="J25" s="86">
        <f t="shared" si="4"/>
        <v>26435517.439624898</v>
      </c>
      <c r="K25" s="86">
        <f t="shared" si="4"/>
        <v>24098715.19062932</v>
      </c>
      <c r="L25" s="86">
        <f t="shared" si="4"/>
        <v>21890572.182340827</v>
      </c>
      <c r="M25" s="86">
        <f t="shared" si="4"/>
        <v>21732295.144550093</v>
      </c>
      <c r="N25" s="86">
        <f t="shared" si="4"/>
        <v>21590228.246619523</v>
      </c>
      <c r="O25" s="87">
        <f t="shared" si="4"/>
        <v>21476469.022795692</v>
      </c>
      <c r="P25" s="646"/>
      <c r="Q25" s="649"/>
      <c r="R25" s="649"/>
      <c r="S25" s="649"/>
    </row>
    <row r="26" spans="1:19" s="76" customFormat="1" ht="12.75">
      <c r="A26" s="267" t="s">
        <v>435</v>
      </c>
      <c r="B26" s="268" t="str">
        <f>VLOOKUP(A26,Справочники!$B:$F,3,FALSE)</f>
        <v>ОБЯЗАТЕЛЬСТВА И КАПИТАЛ</v>
      </c>
      <c r="C26" s="554"/>
      <c r="D26" s="2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  <c r="P26" s="650"/>
      <c r="Q26" s="651"/>
      <c r="R26" s="651"/>
      <c r="S26" s="651"/>
    </row>
    <row r="27" spans="1:19" s="91" customFormat="1" ht="12.75">
      <c r="A27" s="253" t="s">
        <v>437</v>
      </c>
      <c r="B27" s="260" t="str">
        <f>VLOOKUP(A27,Справочники!$B:$F,3,FALSE)</f>
        <v>ТЕКУЩИЕ ОБЯЗАТЕЛЬСТВА</v>
      </c>
      <c r="C27" s="555"/>
      <c r="D27" s="285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650"/>
      <c r="Q27" s="652"/>
      <c r="R27" s="652"/>
      <c r="S27" s="652"/>
    </row>
    <row r="28" spans="1:16" ht="12.75">
      <c r="A28" s="255" t="s">
        <v>438</v>
      </c>
      <c r="B28" s="259" t="str">
        <f>VLOOKUP(A28,Справочники!$B:$F,3,FALSE)</f>
        <v>Краткосрочные кредиты банков</v>
      </c>
      <c r="C28" s="549">
        <f>БФД!C60</f>
        <v>100000</v>
      </c>
      <c r="D28" s="281">
        <f>БФД!D60</f>
        <v>91667</v>
      </c>
      <c r="E28" s="83">
        <f>БФД!E60</f>
        <v>66668</v>
      </c>
      <c r="F28" s="83">
        <f>БФД!F60</f>
        <v>41669</v>
      </c>
      <c r="G28" s="83">
        <f>БФД!G60</f>
        <v>16670</v>
      </c>
      <c r="H28" s="83">
        <f>БФД!H60</f>
        <v>250000</v>
      </c>
      <c r="I28" s="83">
        <f>БФД!I60</f>
        <v>0</v>
      </c>
      <c r="J28" s="83">
        <f>БФД!J60</f>
        <v>0</v>
      </c>
      <c r="K28" s="83">
        <f>БФД!K60</f>
        <v>0</v>
      </c>
      <c r="L28" s="83">
        <f>БФД!L60</f>
        <v>0</v>
      </c>
      <c r="M28" s="83">
        <f>БФД!M60</f>
        <v>0</v>
      </c>
      <c r="N28" s="83">
        <f>БФД!N60</f>
        <v>0</v>
      </c>
      <c r="O28" s="84">
        <f>БФД!O60</f>
        <v>0</v>
      </c>
      <c r="P28" s="643"/>
    </row>
    <row r="29" spans="1:16" ht="12.75">
      <c r="A29" s="255" t="s">
        <v>439</v>
      </c>
      <c r="B29" s="259" t="str">
        <f>VLOOKUP(A29,Справочники!$B:$F,3,FALSE)</f>
        <v>Краткосрочные займы</v>
      </c>
      <c r="C29" s="549">
        <f>БФД!C93</f>
        <v>0</v>
      </c>
      <c r="D29" s="281">
        <f>БФД!D93</f>
        <v>0</v>
      </c>
      <c r="E29" s="83">
        <f>БФД!E93</f>
        <v>0</v>
      </c>
      <c r="F29" s="83">
        <f>БФД!F93</f>
        <v>0</v>
      </c>
      <c r="G29" s="83">
        <f>БФД!G93</f>
        <v>0</v>
      </c>
      <c r="H29" s="83">
        <f>БФД!H93</f>
        <v>0</v>
      </c>
      <c r="I29" s="83">
        <f>БФД!I93</f>
        <v>0</v>
      </c>
      <c r="J29" s="83">
        <f>БФД!J93</f>
        <v>0</v>
      </c>
      <c r="K29" s="83">
        <f>БФД!K93</f>
        <v>0</v>
      </c>
      <c r="L29" s="83">
        <f>БФД!L93</f>
        <v>0</v>
      </c>
      <c r="M29" s="83">
        <f>БФД!M93</f>
        <v>0</v>
      </c>
      <c r="N29" s="83">
        <f>БФД!N93</f>
        <v>0</v>
      </c>
      <c r="O29" s="84">
        <f>БФД!O93</f>
        <v>0</v>
      </c>
      <c r="P29" s="643"/>
    </row>
    <row r="30" spans="1:16" ht="25.5">
      <c r="A30" s="255" t="s">
        <v>440</v>
      </c>
      <c r="B30" s="259" t="str">
        <f>VLOOKUP(A30,Справочники!$B:$F,3,FALSE)</f>
        <v>Кредиторская задолженность по основной деятельности</v>
      </c>
      <c r="C30" s="92">
        <f>Кредиторы!C20</f>
        <v>85578.58376511227</v>
      </c>
      <c r="D30" s="281">
        <f>Кредиторы!D20</f>
        <v>12448.38217995126</v>
      </c>
      <c r="E30" s="83">
        <f>Кредиторы!E20</f>
        <v>65396.760262143034</v>
      </c>
      <c r="F30" s="83">
        <f>Кредиторы!F20</f>
        <v>111699.76986301367</v>
      </c>
      <c r="G30" s="83">
        <f>Кредиторы!G20</f>
        <v>125268.15342465752</v>
      </c>
      <c r="H30" s="83">
        <f>Кредиторы!H20</f>
        <v>501269.63835616445</v>
      </c>
      <c r="I30" s="83">
        <f>Кредиторы!I20</f>
        <v>1225663.5616438356</v>
      </c>
      <c r="J30" s="83">
        <f>Кредиторы!J20</f>
        <v>1972647.6712328766</v>
      </c>
      <c r="K30" s="83">
        <f>Кредиторы!K20</f>
        <v>1224942.4657534247</v>
      </c>
      <c r="L30" s="83">
        <f>Кредиторы!L20</f>
        <v>70856.98630136986</v>
      </c>
      <c r="M30" s="83">
        <f>Кредиторы!M20</f>
        <v>27651.50684931507</v>
      </c>
      <c r="N30" s="83">
        <f>Кредиторы!N20</f>
        <v>0</v>
      </c>
      <c r="O30" s="84">
        <f>Кредиторы!O20</f>
        <v>0</v>
      </c>
      <c r="P30" s="643"/>
    </row>
    <row r="31" spans="1:16" ht="12.75">
      <c r="A31" s="255" t="s">
        <v>441</v>
      </c>
      <c r="B31" s="259" t="str">
        <f>VLOOKUP(A31,Справочники!$B:$F,3,FALSE)</f>
        <v>Прочие кредиторы (поставщики и подрядчики)</v>
      </c>
      <c r="C31" s="92">
        <f>Кредиторы!C29</f>
        <v>87996.5457685665</v>
      </c>
      <c r="D31" s="281">
        <f>Кредиторы!D29</f>
        <v>7103.022452504319</v>
      </c>
      <c r="E31" s="83">
        <f>Кредиторы!E29</f>
        <v>10167.439136915325</v>
      </c>
      <c r="F31" s="83">
        <f>Кредиторы!F29</f>
        <v>14628.662431684294</v>
      </c>
      <c r="G31" s="83">
        <f>Кредиторы!G29</f>
        <v>15009.076821160717</v>
      </c>
      <c r="H31" s="83">
        <f>Кредиторы!H29</f>
        <v>41603.50095819434</v>
      </c>
      <c r="I31" s="83">
        <f>Кредиторы!I29</f>
        <v>69166.25263207704</v>
      </c>
      <c r="J31" s="83">
        <f>Кредиторы!J29</f>
        <v>82999.50315849244</v>
      </c>
      <c r="K31" s="83">
        <f>Кредиторы!K29</f>
        <v>44958.064210850076</v>
      </c>
      <c r="L31" s="83">
        <f>Кредиторы!L29</f>
        <v>0</v>
      </c>
      <c r="M31" s="83">
        <f>Кредиторы!M29</f>
        <v>0</v>
      </c>
      <c r="N31" s="83">
        <f>Кредиторы!N29</f>
        <v>0</v>
      </c>
      <c r="O31" s="84">
        <f>Кредиторы!O29</f>
        <v>0</v>
      </c>
      <c r="P31" s="643"/>
    </row>
    <row r="32" spans="1:16" ht="12.75">
      <c r="A32" s="255" t="s">
        <v>442</v>
      </c>
      <c r="B32" s="259" t="str">
        <f>VLOOKUP(A32,Справочники!$B:$F,3,FALSE)</f>
        <v>Расчеты с персоналом</v>
      </c>
      <c r="C32" s="92">
        <f>Кредиторы!C44</f>
        <v>4732.297063903282</v>
      </c>
      <c r="D32" s="281">
        <f>Кредиторы!D44</f>
        <v>0</v>
      </c>
      <c r="E32" s="83">
        <f>Кредиторы!E44</f>
        <v>0</v>
      </c>
      <c r="F32" s="83">
        <f>Кредиторы!F44</f>
        <v>0</v>
      </c>
      <c r="G32" s="83">
        <f>Кредиторы!G44</f>
        <v>0</v>
      </c>
      <c r="H32" s="83">
        <f>Кредиторы!H44</f>
        <v>0</v>
      </c>
      <c r="I32" s="83">
        <f>Кредиторы!I44</f>
        <v>0</v>
      </c>
      <c r="J32" s="83">
        <f>Кредиторы!J44</f>
        <v>0</v>
      </c>
      <c r="K32" s="83">
        <f>Кредиторы!K44</f>
        <v>0</v>
      </c>
      <c r="L32" s="83">
        <f>Кредиторы!L44</f>
        <v>0</v>
      </c>
      <c r="M32" s="83">
        <f>Кредиторы!M44</f>
        <v>0</v>
      </c>
      <c r="N32" s="83">
        <f>Кредиторы!N44</f>
        <v>0</v>
      </c>
      <c r="O32" s="84">
        <f>Кредиторы!O44</f>
        <v>0</v>
      </c>
      <c r="P32" s="643"/>
    </row>
    <row r="33" spans="1:16" ht="12.75">
      <c r="A33" s="255" t="s">
        <v>443</v>
      </c>
      <c r="B33" s="259" t="str">
        <f>VLOOKUP(A33,Справочники!$B:$F,3,FALSE)</f>
        <v>Расчеты с бюджетом</v>
      </c>
      <c r="C33" s="281">
        <f>Налоги!C58</f>
        <v>690.846286701209</v>
      </c>
      <c r="D33" s="281">
        <f>Налоги!D58</f>
        <v>0</v>
      </c>
      <c r="E33" s="83">
        <f>Налоги!E58</f>
        <v>0</v>
      </c>
      <c r="F33" s="83">
        <f>Налоги!F58</f>
        <v>0</v>
      </c>
      <c r="G33" s="83">
        <f>Налоги!G58</f>
        <v>0</v>
      </c>
      <c r="H33" s="83">
        <f>Налоги!H58</f>
        <v>0</v>
      </c>
      <c r="I33" s="83">
        <f>Налоги!I58</f>
        <v>0</v>
      </c>
      <c r="J33" s="83">
        <f>Налоги!J58</f>
        <v>0</v>
      </c>
      <c r="K33" s="83">
        <f>Налоги!K58</f>
        <v>0</v>
      </c>
      <c r="L33" s="83">
        <f>Налоги!L58</f>
        <v>0</v>
      </c>
      <c r="M33" s="83">
        <f>Налоги!M58</f>
        <v>0</v>
      </c>
      <c r="N33" s="83">
        <f>Налоги!N58</f>
        <v>0</v>
      </c>
      <c r="O33" s="84">
        <f>Налоги!O58</f>
        <v>0</v>
      </c>
      <c r="P33" s="643"/>
    </row>
    <row r="34" spans="1:16" ht="12.75">
      <c r="A34" s="255" t="s">
        <v>444</v>
      </c>
      <c r="B34" s="259" t="str">
        <f>VLOOKUP(A34,Справочники!$B:$F,3,FALSE)</f>
        <v>Расчеты по социальному страхованию</v>
      </c>
      <c r="C34" s="281">
        <f>Кредиторы!C79</f>
        <v>1260.7944732297065</v>
      </c>
      <c r="D34" s="281">
        <f>Кредиторы!D51</f>
        <v>0</v>
      </c>
      <c r="E34" s="83">
        <f>Кредиторы!E51</f>
        <v>0</v>
      </c>
      <c r="F34" s="83">
        <f>Кредиторы!F51</f>
        <v>0</v>
      </c>
      <c r="G34" s="83">
        <f>Кредиторы!G51</f>
        <v>0</v>
      </c>
      <c r="H34" s="83">
        <f>Кредиторы!H51</f>
        <v>0</v>
      </c>
      <c r="I34" s="83">
        <f>Кредиторы!I51</f>
        <v>0</v>
      </c>
      <c r="J34" s="83">
        <f>Кредиторы!J51</f>
        <v>0</v>
      </c>
      <c r="K34" s="83">
        <f>Кредиторы!K51</f>
        <v>0</v>
      </c>
      <c r="L34" s="83">
        <f>Кредиторы!L51</f>
        <v>0</v>
      </c>
      <c r="M34" s="83">
        <f>Кредиторы!M51</f>
        <v>0</v>
      </c>
      <c r="N34" s="83">
        <f>Кредиторы!N51</f>
        <v>0</v>
      </c>
      <c r="O34" s="84">
        <f>Кредиторы!O51</f>
        <v>0</v>
      </c>
      <c r="P34" s="643"/>
    </row>
    <row r="35" spans="1:16" ht="12.75">
      <c r="A35" s="255" t="s">
        <v>445</v>
      </c>
      <c r="B35" s="259" t="str">
        <f>VLOOKUP(A35,Справочники!$B:$F,3,FALSE)</f>
        <v>Авансы полученные от покупателей </v>
      </c>
      <c r="C35" s="281">
        <f>Дебиторы!C87</f>
        <v>281174.43868739204</v>
      </c>
      <c r="D35" s="281">
        <f>Дебиторы!D87</f>
        <v>281174.43868739204</v>
      </c>
      <c r="E35" s="83">
        <f>Дебиторы!E87</f>
        <v>281174.43868739204</v>
      </c>
      <c r="F35" s="83">
        <f>Дебиторы!F87</f>
        <v>281174.43868739204</v>
      </c>
      <c r="G35" s="83">
        <f>Дебиторы!G87</f>
        <v>281174.43868739204</v>
      </c>
      <c r="H35" s="83">
        <f>Дебиторы!H87</f>
        <v>281174.43868739204</v>
      </c>
      <c r="I35" s="83">
        <f>Дебиторы!I87</f>
        <v>281174.43868739204</v>
      </c>
      <c r="J35" s="83">
        <f>Дебиторы!J87</f>
        <v>281174.43868739204</v>
      </c>
      <c r="K35" s="83">
        <f>Дебиторы!K87</f>
        <v>281174.43868739204</v>
      </c>
      <c r="L35" s="83">
        <f>Дебиторы!L87</f>
        <v>281174.43868739204</v>
      </c>
      <c r="M35" s="83">
        <f>Дебиторы!M87</f>
        <v>281174.43868739204</v>
      </c>
      <c r="N35" s="83">
        <f>Дебиторы!N87</f>
        <v>281174.43868739204</v>
      </c>
      <c r="O35" s="84">
        <f>Дебиторы!O87</f>
        <v>281174.43868739204</v>
      </c>
      <c r="P35" s="643"/>
    </row>
    <row r="36" spans="1:16" ht="12.75">
      <c r="A36" s="255" t="s">
        <v>450</v>
      </c>
      <c r="B36" s="259" t="str">
        <f>VLOOKUP(A36,Справочники!$B:$F,3,FALSE)</f>
        <v>НДС в отгруженной но неоплаченной продукции</v>
      </c>
      <c r="C36" s="281">
        <f>НДС!C61</f>
        <v>86.35578583765113</v>
      </c>
      <c r="D36" s="281">
        <f>НДС!D61</f>
        <v>32333.008024451497</v>
      </c>
      <c r="E36" s="83">
        <f>НДС!E61</f>
        <v>75583.55596965694</v>
      </c>
      <c r="F36" s="83">
        <f>НДС!F61</f>
        <v>89757.93953130074</v>
      </c>
      <c r="G36" s="83">
        <f>НДС!G61</f>
        <v>94521.77514773913</v>
      </c>
      <c r="H36" s="83">
        <f>НДС!H61</f>
        <v>348591.77514773887</v>
      </c>
      <c r="I36" s="83">
        <f>НДС!I61</f>
        <v>828396.5696682865</v>
      </c>
      <c r="J36" s="83">
        <f>НДС!J61</f>
        <v>1425108.8984354092</v>
      </c>
      <c r="K36" s="83">
        <f>НДС!K61</f>
        <v>897289.7203532174</v>
      </c>
      <c r="L36" s="83">
        <f>НДС!L61</f>
        <v>2.0491203408455476</v>
      </c>
      <c r="M36" s="83">
        <f>НДС!M61</f>
        <v>2.0491203408455476</v>
      </c>
      <c r="N36" s="83">
        <f>НДС!N61</f>
        <v>2.0491203408455476</v>
      </c>
      <c r="O36" s="84">
        <f>НДС!O61</f>
        <v>2.0491203408455476</v>
      </c>
      <c r="P36" s="643"/>
    </row>
    <row r="37" spans="1:19" s="42" customFormat="1" ht="12.75">
      <c r="A37" s="254"/>
      <c r="B37" s="337" t="s">
        <v>407</v>
      </c>
      <c r="C37" s="338">
        <f>SUM(C28:C36)</f>
        <v>561519.8618307427</v>
      </c>
      <c r="D37" s="338">
        <f>SUM(D28:D36)</f>
        <v>424725.8513442991</v>
      </c>
      <c r="E37" s="339">
        <f aca="true" t="shared" si="5" ref="E37:O37">SUM(E28:E36)</f>
        <v>498990.1940561073</v>
      </c>
      <c r="F37" s="339">
        <f t="shared" si="5"/>
        <v>538929.8105133907</v>
      </c>
      <c r="G37" s="339">
        <f t="shared" si="5"/>
        <v>532643.4440809494</v>
      </c>
      <c r="H37" s="339">
        <f t="shared" si="5"/>
        <v>1422639.3531494897</v>
      </c>
      <c r="I37" s="339">
        <f t="shared" si="5"/>
        <v>2404400.822631591</v>
      </c>
      <c r="J37" s="339">
        <f t="shared" si="5"/>
        <v>3761930.51151417</v>
      </c>
      <c r="K37" s="339">
        <f t="shared" si="5"/>
        <v>2448364.689004884</v>
      </c>
      <c r="L37" s="339">
        <f t="shared" si="5"/>
        <v>352033.47410910274</v>
      </c>
      <c r="M37" s="339">
        <f t="shared" si="5"/>
        <v>308827.99465704797</v>
      </c>
      <c r="N37" s="339">
        <f t="shared" si="5"/>
        <v>281176.4878077329</v>
      </c>
      <c r="O37" s="340">
        <f t="shared" si="5"/>
        <v>281176.4878077329</v>
      </c>
      <c r="P37" s="647"/>
      <c r="Q37" s="648"/>
      <c r="R37" s="648"/>
      <c r="S37" s="648"/>
    </row>
    <row r="38" spans="1:19" s="45" customFormat="1" ht="12.75">
      <c r="A38" s="253" t="s">
        <v>451</v>
      </c>
      <c r="B38" s="260" t="str">
        <f>VLOOKUP(A38,Справочники!$B:$F,3,FALSE)</f>
        <v>ДОЛГОСРОЧНЫЕ ОБЯЗАТЕЛЬСТВА</v>
      </c>
      <c r="C38" s="273"/>
      <c r="D38" s="280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  <c r="P38" s="646"/>
      <c r="Q38" s="649"/>
      <c r="R38" s="649"/>
      <c r="S38" s="649"/>
    </row>
    <row r="39" spans="1:16" ht="12.75">
      <c r="A39" s="255" t="s">
        <v>455</v>
      </c>
      <c r="B39" s="259" t="str">
        <f>VLOOKUP(A39,Справочники!$B:$F,3,FALSE)</f>
        <v>Расчеты по долгосрочным кредитам</v>
      </c>
      <c r="C39" s="92">
        <f>БФД!C35</f>
        <v>0</v>
      </c>
      <c r="D39" s="281">
        <f>БФД!D35</f>
        <v>0</v>
      </c>
      <c r="E39" s="83">
        <f>БФД!E35</f>
        <v>0</v>
      </c>
      <c r="F39" s="83">
        <f>БФД!F35</f>
        <v>0</v>
      </c>
      <c r="G39" s="83">
        <f>БФД!G35</f>
        <v>0</v>
      </c>
      <c r="H39" s="83">
        <f>БФД!H35</f>
        <v>0</v>
      </c>
      <c r="I39" s="83">
        <f>БФД!I35</f>
        <v>0</v>
      </c>
      <c r="J39" s="83">
        <f>БФД!J35</f>
        <v>0</v>
      </c>
      <c r="K39" s="83">
        <f>БФД!K35</f>
        <v>0</v>
      </c>
      <c r="L39" s="83">
        <f>БФД!L35</f>
        <v>0</v>
      </c>
      <c r="M39" s="83">
        <f>БФД!M35</f>
        <v>0</v>
      </c>
      <c r="N39" s="83">
        <f>БФД!N35</f>
        <v>0</v>
      </c>
      <c r="O39" s="84">
        <f>БФД!O35</f>
        <v>0</v>
      </c>
      <c r="P39" s="643"/>
    </row>
    <row r="40" spans="1:19" s="342" customFormat="1" ht="12.75">
      <c r="A40" s="254"/>
      <c r="B40" s="337" t="s">
        <v>408</v>
      </c>
      <c r="C40" s="341">
        <f aca="true" t="shared" si="6" ref="C40:O40">SUM(C39:C39)</f>
        <v>0</v>
      </c>
      <c r="D40" s="338">
        <f t="shared" si="6"/>
        <v>0</v>
      </c>
      <c r="E40" s="339">
        <f t="shared" si="6"/>
        <v>0</v>
      </c>
      <c r="F40" s="339">
        <f t="shared" si="6"/>
        <v>0</v>
      </c>
      <c r="G40" s="339">
        <f t="shared" si="6"/>
        <v>0</v>
      </c>
      <c r="H40" s="339">
        <f t="shared" si="6"/>
        <v>0</v>
      </c>
      <c r="I40" s="339">
        <f t="shared" si="6"/>
        <v>0</v>
      </c>
      <c r="J40" s="339">
        <f t="shared" si="6"/>
        <v>0</v>
      </c>
      <c r="K40" s="339">
        <f t="shared" si="6"/>
        <v>0</v>
      </c>
      <c r="L40" s="339">
        <f t="shared" si="6"/>
        <v>0</v>
      </c>
      <c r="M40" s="339">
        <f t="shared" si="6"/>
        <v>0</v>
      </c>
      <c r="N40" s="339">
        <f t="shared" si="6"/>
        <v>0</v>
      </c>
      <c r="O40" s="340">
        <f t="shared" si="6"/>
        <v>0</v>
      </c>
      <c r="P40" s="647"/>
      <c r="Q40" s="653"/>
      <c r="R40" s="653"/>
      <c r="S40" s="653"/>
    </row>
    <row r="41" spans="1:19" s="45" customFormat="1" ht="12.75">
      <c r="A41" s="253" t="s">
        <v>467</v>
      </c>
      <c r="B41" s="260" t="str">
        <f>VLOOKUP(A41,Справочники!$B:$F,3,FALSE)</f>
        <v>СОБСТВЕННЫЙ КАПИТАЛ</v>
      </c>
      <c r="C41" s="85"/>
      <c r="D41" s="280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/>
      <c r="P41" s="646"/>
      <c r="Q41" s="649"/>
      <c r="R41" s="649"/>
      <c r="S41" s="649"/>
    </row>
    <row r="42" spans="1:16" ht="12.75">
      <c r="A42" s="255" t="s">
        <v>468</v>
      </c>
      <c r="B42" s="259" t="str">
        <f>VLOOKUP(A42,Справочники!$B:$F,3,FALSE)</f>
        <v>Уставный капитал</v>
      </c>
      <c r="C42" s="52">
        <f>БФД!C25</f>
        <v>641796.2003454232</v>
      </c>
      <c r="D42" s="283">
        <f>БФД!D25</f>
        <v>641796.2003454232</v>
      </c>
      <c r="E42" s="74">
        <f>БФД!E25</f>
        <v>641796.2003454232</v>
      </c>
      <c r="F42" s="74">
        <f>БФД!F25</f>
        <v>2141796.200345423</v>
      </c>
      <c r="G42" s="74">
        <f>БФД!G25</f>
        <v>2141796.200345423</v>
      </c>
      <c r="H42" s="74">
        <f>БФД!H25</f>
        <v>2141796.200345423</v>
      </c>
      <c r="I42" s="74">
        <f>БФД!I25</f>
        <v>2141796.200345423</v>
      </c>
      <c r="J42" s="74">
        <f>БФД!J25</f>
        <v>2141796.200345423</v>
      </c>
      <c r="K42" s="74">
        <f>БФД!K25</f>
        <v>2141796.200345423</v>
      </c>
      <c r="L42" s="74">
        <f>БФД!L25</f>
        <v>2141796.200345423</v>
      </c>
      <c r="M42" s="74">
        <f>БФД!M25</f>
        <v>2141796.200345423</v>
      </c>
      <c r="N42" s="74">
        <f>БФД!N25</f>
        <v>2141796.200345423</v>
      </c>
      <c r="O42" s="75">
        <f>БФД!O25</f>
        <v>2141796.200345423</v>
      </c>
      <c r="P42" s="643"/>
    </row>
    <row r="43" spans="1:16" ht="12.75">
      <c r="A43" s="255" t="s">
        <v>470</v>
      </c>
      <c r="B43" s="259" t="str">
        <f>VLOOKUP(A43,Справочники!$B:$F,3,FALSE)</f>
        <v>Нераспределенная прибыль прошлых периодов</v>
      </c>
      <c r="C43" s="343"/>
      <c r="D43" s="283">
        <f>C44-ОДДС!D49</f>
        <v>37240.44905008632</v>
      </c>
      <c r="E43" s="74">
        <f>D43-ОДДС!E49</f>
        <v>37240.44905008632</v>
      </c>
      <c r="F43" s="74">
        <f>E43-ОДДС!F49</f>
        <v>37240.44905008632</v>
      </c>
      <c r="G43" s="74">
        <f>F43-ОДДС!G49</f>
        <v>37240.44905008632</v>
      </c>
      <c r="H43" s="74">
        <f>G43-ОДДС!H49</f>
        <v>37240.44905008632</v>
      </c>
      <c r="I43" s="74">
        <f>H43-ОДДС!I49</f>
        <v>37240.44905008632</v>
      </c>
      <c r="J43" s="74">
        <f>I43-ОДДС!J49</f>
        <v>37240.44905008632</v>
      </c>
      <c r="K43" s="74">
        <f>J43-ОДДС!K49</f>
        <v>37240.44905008632</v>
      </c>
      <c r="L43" s="74">
        <f>K43-ОДДС!L49</f>
        <v>37240.44905008632</v>
      </c>
      <c r="M43" s="74">
        <f>L43-ОДДС!M49</f>
        <v>37240.44905008632</v>
      </c>
      <c r="N43" s="74">
        <f>M43-ОДДС!N49</f>
        <v>37240.44905008632</v>
      </c>
      <c r="O43" s="75">
        <f>N43-ОДДС!O49</f>
        <v>37240.44905008632</v>
      </c>
      <c r="P43" s="643"/>
    </row>
    <row r="44" spans="1:16" ht="12.75">
      <c r="A44" s="255" t="s">
        <v>471</v>
      </c>
      <c r="B44" s="259" t="str">
        <f>VLOOKUP(A44,Справочники!$B:$F,3,FALSE)</f>
        <v>Нераспределенная прибыль текущего периода</v>
      </c>
      <c r="C44" s="294">
        <v>37240.44905008632</v>
      </c>
      <c r="D44" s="281">
        <f>'ОДР '!D107</f>
        <v>-38897.27685613127</v>
      </c>
      <c r="E44" s="74">
        <f>D44+'ОДР '!E107</f>
        <v>15890.430798936155</v>
      </c>
      <c r="F44" s="74">
        <f>E44+'ОДР '!F107</f>
        <v>20283.402731320963</v>
      </c>
      <c r="G44" s="74">
        <f>F44+'ОДР '!G107</f>
        <v>10466.636974161005</v>
      </c>
      <c r="H44" s="74">
        <f>G44+'ОДР '!H107</f>
        <v>1760323.9148053734</v>
      </c>
      <c r="I44" s="74">
        <f>H44+'ОДР '!I107</f>
        <v>8203281.94684881</v>
      </c>
      <c r="J44" s="74">
        <f>I44+'ОДР '!J107</f>
        <v>20494550.27871521</v>
      </c>
      <c r="K44" s="74">
        <f>J44+'ОДР '!K107</f>
        <v>19471313.852228917</v>
      </c>
      <c r="L44" s="74">
        <f>K44+'ОДР '!L107</f>
        <v>19359502.058836207</v>
      </c>
      <c r="M44" s="74">
        <f>L44+'ОДР '!M107</f>
        <v>19244430.500497527</v>
      </c>
      <c r="N44" s="74">
        <f>M44+'ОДР '!N107</f>
        <v>19130015.109416272</v>
      </c>
      <c r="O44" s="75">
        <f>N44+'ОДР '!O107</f>
        <v>19016255.885592442</v>
      </c>
      <c r="P44" s="643"/>
    </row>
    <row r="45" spans="1:19" s="342" customFormat="1" ht="12.75">
      <c r="A45" s="254"/>
      <c r="B45" s="337" t="s">
        <v>409</v>
      </c>
      <c r="C45" s="341">
        <f aca="true" t="shared" si="7" ref="C45:O45">SUM(C42:C44)</f>
        <v>679036.6493955095</v>
      </c>
      <c r="D45" s="338">
        <f t="shared" si="7"/>
        <v>640139.3725393782</v>
      </c>
      <c r="E45" s="339">
        <f t="shared" si="7"/>
        <v>694927.0801944457</v>
      </c>
      <c r="F45" s="339">
        <f t="shared" si="7"/>
        <v>2199320.0521268304</v>
      </c>
      <c r="G45" s="339">
        <f t="shared" si="7"/>
        <v>2189503.2863696706</v>
      </c>
      <c r="H45" s="339">
        <f t="shared" si="7"/>
        <v>3939360.564200883</v>
      </c>
      <c r="I45" s="339">
        <f t="shared" si="7"/>
        <v>10382318.59624432</v>
      </c>
      <c r="J45" s="339">
        <f t="shared" si="7"/>
        <v>22673586.92811072</v>
      </c>
      <c r="K45" s="339">
        <f t="shared" si="7"/>
        <v>21650350.501624428</v>
      </c>
      <c r="L45" s="339">
        <f t="shared" si="7"/>
        <v>21538538.708231717</v>
      </c>
      <c r="M45" s="339">
        <f t="shared" si="7"/>
        <v>21423467.149893038</v>
      </c>
      <c r="N45" s="339">
        <f t="shared" si="7"/>
        <v>21309051.758811783</v>
      </c>
      <c r="O45" s="340">
        <f t="shared" si="7"/>
        <v>21195292.534987953</v>
      </c>
      <c r="P45" s="647"/>
      <c r="Q45" s="653"/>
      <c r="R45" s="653"/>
      <c r="S45" s="653"/>
    </row>
    <row r="46" spans="1:19" s="45" customFormat="1" ht="12.75">
      <c r="A46" s="274"/>
      <c r="B46" s="275" t="s">
        <v>410</v>
      </c>
      <c r="C46" s="276">
        <f aca="true" t="shared" si="8" ref="C46:O46">SUM(C37,C40,C45)</f>
        <v>1240556.5112262522</v>
      </c>
      <c r="D46" s="286">
        <f t="shared" si="8"/>
        <v>1064865.2238836773</v>
      </c>
      <c r="E46" s="277">
        <f t="shared" si="8"/>
        <v>1193917.274250553</v>
      </c>
      <c r="F46" s="277">
        <f t="shared" si="8"/>
        <v>2738249.862640221</v>
      </c>
      <c r="G46" s="277">
        <f t="shared" si="8"/>
        <v>2722146.73045062</v>
      </c>
      <c r="H46" s="277">
        <f t="shared" si="8"/>
        <v>5361999.917350372</v>
      </c>
      <c r="I46" s="277">
        <f t="shared" si="8"/>
        <v>12786719.41887591</v>
      </c>
      <c r="J46" s="277">
        <f t="shared" si="8"/>
        <v>26435517.43962489</v>
      </c>
      <c r="K46" s="277">
        <f t="shared" si="8"/>
        <v>24098715.19062931</v>
      </c>
      <c r="L46" s="277">
        <f t="shared" si="8"/>
        <v>21890572.18234082</v>
      </c>
      <c r="M46" s="277">
        <f t="shared" si="8"/>
        <v>21732295.144550085</v>
      </c>
      <c r="N46" s="277">
        <f t="shared" si="8"/>
        <v>21590228.246619515</v>
      </c>
      <c r="O46" s="278">
        <f t="shared" si="8"/>
        <v>21476469.022795685</v>
      </c>
      <c r="P46" s="646"/>
      <c r="Q46" s="649"/>
      <c r="R46" s="649"/>
      <c r="S46" s="649"/>
    </row>
    <row r="47" ht="12.75"/>
    <row r="48" spans="2:19" s="59" customFormat="1" ht="12.75">
      <c r="B48" s="59" t="s">
        <v>125</v>
      </c>
      <c r="C48" s="1065">
        <f aca="true" t="shared" si="9" ref="C48:O48">C25-C46</f>
        <v>0</v>
      </c>
      <c r="D48" s="335">
        <f t="shared" si="9"/>
        <v>0</v>
      </c>
      <c r="E48" s="335">
        <f t="shared" si="9"/>
        <v>0</v>
      </c>
      <c r="F48" s="335">
        <f t="shared" si="9"/>
        <v>0</v>
      </c>
      <c r="G48" s="335">
        <f t="shared" si="9"/>
        <v>0</v>
      </c>
      <c r="H48" s="335">
        <f t="shared" si="9"/>
        <v>0</v>
      </c>
      <c r="I48" s="335">
        <f t="shared" si="9"/>
        <v>0</v>
      </c>
      <c r="J48" s="335">
        <f t="shared" si="9"/>
        <v>0</v>
      </c>
      <c r="K48" s="335">
        <f t="shared" si="9"/>
        <v>0</v>
      </c>
      <c r="L48" s="335">
        <f t="shared" si="9"/>
        <v>0</v>
      </c>
      <c r="M48" s="335">
        <f t="shared" si="9"/>
        <v>0</v>
      </c>
      <c r="N48" s="335">
        <f t="shared" si="9"/>
        <v>0</v>
      </c>
      <c r="O48" s="335">
        <f t="shared" si="9"/>
        <v>0</v>
      </c>
      <c r="P48" s="642"/>
      <c r="Q48" s="623"/>
      <c r="R48" s="623"/>
      <c r="S48" s="623"/>
    </row>
    <row r="49" spans="4:16" ht="12.75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643"/>
    </row>
    <row r="50" spans="4:16" ht="12.75"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643"/>
    </row>
    <row r="51" spans="4:16" ht="12.75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643"/>
    </row>
    <row r="52" spans="4:16" ht="12.75">
      <c r="D52" s="53"/>
      <c r="E52" s="1071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643"/>
    </row>
    <row r="53" spans="4:16" ht="12.75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643"/>
    </row>
    <row r="54" spans="4:16" ht="12.75"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643"/>
    </row>
    <row r="55" spans="4:16" ht="12.75"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643"/>
    </row>
    <row r="56" spans="4:16" ht="12.75"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643"/>
    </row>
    <row r="57" spans="4:16" ht="12.75"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643"/>
    </row>
    <row r="58" spans="4:16" ht="12.75"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643"/>
    </row>
    <row r="59" spans="4:16" ht="12.75"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643"/>
    </row>
    <row r="60" spans="4:16" ht="12.75"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643"/>
    </row>
    <row r="61" spans="4:16" ht="12.75"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643"/>
    </row>
    <row r="62" spans="4:16" ht="12.75"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643"/>
    </row>
    <row r="63" spans="1:15" ht="18.75" hidden="1">
      <c r="A63" s="1156" t="s">
        <v>615</v>
      </c>
      <c r="B63" s="1156"/>
      <c r="C63" s="1156"/>
      <c r="D63" s="1156"/>
      <c r="E63" s="1156"/>
      <c r="F63" s="1156"/>
      <c r="G63" s="1156"/>
      <c r="H63" s="1156"/>
      <c r="I63" s="1156"/>
      <c r="J63" s="1156"/>
      <c r="K63" s="1156"/>
      <c r="L63" s="1156"/>
      <c r="M63" s="1156"/>
      <c r="N63" s="1156"/>
      <c r="O63" s="1156"/>
    </row>
    <row r="64" spans="1:13" ht="18.75" hidden="1">
      <c r="A64" s="600"/>
      <c r="B64" s="600"/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</row>
    <row r="65" spans="2:15" ht="12.75" hidden="1">
      <c r="B65" s="1150" t="s">
        <v>157</v>
      </c>
      <c r="C65" s="1121">
        <f>C6</f>
        <v>2005</v>
      </c>
      <c r="D65" s="1121">
        <f>C65+1</f>
        <v>2006</v>
      </c>
      <c r="E65" s="1121">
        <f aca="true" t="shared" si="10" ref="E65:O65">D65+1</f>
        <v>2007</v>
      </c>
      <c r="F65" s="1121">
        <f t="shared" si="10"/>
        <v>2008</v>
      </c>
      <c r="G65" s="1121">
        <f t="shared" si="10"/>
        <v>2009</v>
      </c>
      <c r="H65" s="1121">
        <f t="shared" si="10"/>
        <v>2010</v>
      </c>
      <c r="I65" s="1121">
        <f t="shared" si="10"/>
        <v>2011</v>
      </c>
      <c r="J65" s="1121">
        <f t="shared" si="10"/>
        <v>2012</v>
      </c>
      <c r="K65" s="1121">
        <f t="shared" si="10"/>
        <v>2013</v>
      </c>
      <c r="L65" s="1121">
        <f t="shared" si="10"/>
        <v>2014</v>
      </c>
      <c r="M65" s="1121">
        <f t="shared" si="10"/>
        <v>2015</v>
      </c>
      <c r="N65" s="1121">
        <f t="shared" si="10"/>
        <v>2016</v>
      </c>
      <c r="O65" s="1121">
        <f t="shared" si="10"/>
        <v>2017</v>
      </c>
    </row>
    <row r="66" spans="2:16" ht="12.75" hidden="1">
      <c r="B66" s="1151"/>
      <c r="C66" s="1122"/>
      <c r="D66" s="1122"/>
      <c r="E66" s="1122"/>
      <c r="F66" s="1122"/>
      <c r="G66" s="1122"/>
      <c r="H66" s="1122"/>
      <c r="I66" s="1122"/>
      <c r="J66" s="1122"/>
      <c r="K66" s="1122"/>
      <c r="L66" s="1122"/>
      <c r="M66" s="1122"/>
      <c r="N66" s="1122"/>
      <c r="O66" s="1122"/>
      <c r="P66" s="654"/>
    </row>
    <row r="67" spans="2:16" ht="12.75" hidden="1">
      <c r="B67" s="11">
        <f aca="true" t="shared" si="11" ref="B67:O67">A67+1</f>
        <v>1</v>
      </c>
      <c r="C67" s="54">
        <f t="shared" si="11"/>
        <v>2</v>
      </c>
      <c r="D67" s="54">
        <f t="shared" si="11"/>
        <v>3</v>
      </c>
      <c r="E67" s="54">
        <f t="shared" si="11"/>
        <v>4</v>
      </c>
      <c r="F67" s="54">
        <f t="shared" si="11"/>
        <v>5</v>
      </c>
      <c r="G67" s="54">
        <f t="shared" si="11"/>
        <v>6</v>
      </c>
      <c r="H67" s="54">
        <f t="shared" si="11"/>
        <v>7</v>
      </c>
      <c r="I67" s="54">
        <f t="shared" si="11"/>
        <v>8</v>
      </c>
      <c r="J67" s="54">
        <f t="shared" si="11"/>
        <v>9</v>
      </c>
      <c r="K67" s="54">
        <f t="shared" si="11"/>
        <v>10</v>
      </c>
      <c r="L67" s="54">
        <f t="shared" si="11"/>
        <v>11</v>
      </c>
      <c r="M67" s="54">
        <f t="shared" si="11"/>
        <v>12</v>
      </c>
      <c r="N67" s="54">
        <f t="shared" si="11"/>
        <v>13</v>
      </c>
      <c r="O67" s="54">
        <f t="shared" si="11"/>
        <v>14</v>
      </c>
      <c r="P67" s="547"/>
    </row>
    <row r="68" spans="2:16" ht="25.5" hidden="1">
      <c r="B68" s="614" t="s">
        <v>158</v>
      </c>
      <c r="C68" s="618"/>
      <c r="D68" s="609">
        <f>'ОДР '!D95</f>
        <v>-4.655349808010702</v>
      </c>
      <c r="E68" s="610">
        <f>'ОДР '!E95</f>
        <v>5.746810471592919</v>
      </c>
      <c r="F68" s="610">
        <f>'ОДР '!F95</f>
        <v>0.629904662102484</v>
      </c>
      <c r="G68" s="610">
        <f>'ОДР '!G95</f>
        <v>-1.0134959273076976</v>
      </c>
      <c r="H68" s="610">
        <f>'ОДР '!H95</f>
        <v>22.617380980811102</v>
      </c>
      <c r="I68" s="610">
        <f>'ОДР '!I95</f>
        <v>38.137066118798096</v>
      </c>
      <c r="J68" s="610">
        <f>'ОДР '!J95</f>
        <v>43.98813239298247</v>
      </c>
      <c r="K68" s="610">
        <f>'ОДР '!K95</f>
        <v>-167.23254615703937</v>
      </c>
      <c r="L68" s="610">
        <f>'ОДР '!L95</f>
        <v>-28.553046269779735</v>
      </c>
      <c r="M68" s="610" t="e">
        <f>'ОДР '!M95</f>
        <v>#DIV/0!</v>
      </c>
      <c r="N68" s="610" t="e">
        <f>'ОДР '!N95</f>
        <v>#DIV/0!</v>
      </c>
      <c r="O68" s="616" t="e">
        <f>'ОДР '!O95</f>
        <v>#DIV/0!</v>
      </c>
      <c r="P68" s="655"/>
    </row>
    <row r="69" spans="2:16" ht="12.75" hidden="1">
      <c r="B69" s="615" t="s">
        <v>159</v>
      </c>
      <c r="C69" s="619"/>
      <c r="D69" s="635">
        <f>'ОДР '!D94/Баланс!D46</f>
        <v>-0.034016771365695565</v>
      </c>
      <c r="E69" s="636" t="e">
        <f>'ОДР '!#REF!/Баланс!E46</f>
        <v>#REF!</v>
      </c>
      <c r="F69" s="636" t="e">
        <f>'ОДР '!#REF!/Баланс!F46</f>
        <v>#REF!</v>
      </c>
      <c r="G69" s="636">
        <f>'ОДР '!E94/Баланс!G46</f>
        <v>0.022727741029388696</v>
      </c>
      <c r="H69" s="636" t="e">
        <f>'ОДР '!#REF!/Баланс!H46</f>
        <v>#REF!</v>
      </c>
      <c r="I69" s="636" t="e">
        <f>'ОДР '!#REF!/Баланс!I46</f>
        <v>#REF!</v>
      </c>
      <c r="J69" s="636">
        <f>'ОДР '!F94/Баланс!J46</f>
        <v>0.0002706618878621671</v>
      </c>
      <c r="K69" s="636" t="e">
        <f>'ОДР '!#REF!/Баланс!K46</f>
        <v>#REF!</v>
      </c>
      <c r="L69" s="636" t="e">
        <f>'ОДР '!#REF!/Баланс!L46</f>
        <v>#REF!</v>
      </c>
      <c r="M69" s="636">
        <f>'ОДР '!G94/Баланс!M46</f>
        <v>-0.000562703652677079</v>
      </c>
      <c r="N69" s="636" t="e">
        <f>'ОДР '!#REF!/Баланс!N46</f>
        <v>#REF!</v>
      </c>
      <c r="O69" s="637" t="e">
        <f>'ОДР '!#REF!/Баланс!O46</f>
        <v>#REF!</v>
      </c>
      <c r="P69" s="656"/>
    </row>
    <row r="70" spans="2:16" ht="12.75" hidden="1">
      <c r="B70" s="615" t="s">
        <v>160</v>
      </c>
      <c r="C70" s="619"/>
      <c r="D70" s="635">
        <f>'ОДР '!D105/Баланс!D45</f>
        <v>-0.06076376258787066</v>
      </c>
      <c r="E70" s="636" t="e">
        <f>'ОДР '!#REF!/Баланс!E45</f>
        <v>#REF!</v>
      </c>
      <c r="F70" s="636" t="e">
        <f>'ОДР '!#REF!/Баланс!F45</f>
        <v>#REF!</v>
      </c>
      <c r="G70" s="636">
        <f>'ОДР '!E105/Баланс!G45</f>
        <v>0.027314751617861413</v>
      </c>
      <c r="H70" s="636" t="e">
        <f>'ОДР '!#REF!/Баланс!H45</f>
        <v>#REF!</v>
      </c>
      <c r="I70" s="636" t="e">
        <f>'ОДР '!#REF!/Баланс!I45</f>
        <v>#REF!</v>
      </c>
      <c r="J70" s="636">
        <f>'ОДР '!F105/Баланс!J45</f>
        <v>0.00025493214836933405</v>
      </c>
      <c r="K70" s="636" t="e">
        <f>'ОДР '!#REF!/Баланс!K45</f>
        <v>#REF!</v>
      </c>
      <c r="L70" s="636" t="e">
        <f>'ОДР '!#REF!/Баланс!L45</f>
        <v>#REF!</v>
      </c>
      <c r="M70" s="636">
        <f>'ОДР '!G105/Баланс!M45</f>
        <v>-0.0006029274794093809</v>
      </c>
      <c r="N70" s="636" t="e">
        <f>'ОДР '!#REF!/Баланс!N45</f>
        <v>#REF!</v>
      </c>
      <c r="O70" s="637" t="e">
        <f>'ОДР '!#REF!/Баланс!O45</f>
        <v>#REF!</v>
      </c>
      <c r="P70" s="656"/>
    </row>
    <row r="71" spans="2:16" ht="12.75" hidden="1">
      <c r="B71" s="615" t="s">
        <v>161</v>
      </c>
      <c r="C71" s="619"/>
      <c r="D71" s="611">
        <f aca="true" t="shared" si="12" ref="D71:O71">D17/D37</f>
        <v>0.7399094749667575</v>
      </c>
      <c r="E71" s="612">
        <f t="shared" si="12"/>
        <v>0.5961038116814562</v>
      </c>
      <c r="F71" s="612">
        <f t="shared" si="12"/>
        <v>3.2962043201778224</v>
      </c>
      <c r="G71" s="612">
        <f t="shared" si="12"/>
        <v>3.021128169892016</v>
      </c>
      <c r="H71" s="612">
        <f t="shared" si="12"/>
        <v>2.696119849591037</v>
      </c>
      <c r="I71" s="612">
        <f t="shared" si="12"/>
        <v>4.470425437266146</v>
      </c>
      <c r="J71" s="612">
        <f t="shared" si="12"/>
        <v>6.323365475606546</v>
      </c>
      <c r="K71" s="612">
        <f t="shared" si="12"/>
        <v>8.77909580389958</v>
      </c>
      <c r="L71" s="612">
        <f t="shared" si="12"/>
        <v>54.9080001747057</v>
      </c>
      <c r="M71" s="612">
        <f t="shared" si="12"/>
        <v>62.21698243368855</v>
      </c>
      <c r="N71" s="612">
        <f t="shared" si="12"/>
        <v>67.98380642788302</v>
      </c>
      <c r="O71" s="617">
        <f t="shared" si="12"/>
        <v>67.73275298504531</v>
      </c>
      <c r="P71" s="655"/>
    </row>
    <row r="72" spans="2:16" ht="12.75" hidden="1">
      <c r="B72" s="606" t="s">
        <v>162</v>
      </c>
      <c r="C72" s="620"/>
      <c r="D72" s="607">
        <f aca="true" t="shared" si="13" ref="D72:O72">(D17-D16)/D37</f>
        <v>0.7350637095986898</v>
      </c>
      <c r="E72" s="613">
        <f t="shared" si="13"/>
        <v>0.5234871681364138</v>
      </c>
      <c r="F72" s="613">
        <f t="shared" si="13"/>
        <v>3.194320618554409</v>
      </c>
      <c r="G72" s="613">
        <f t="shared" si="13"/>
        <v>2.863296662963358</v>
      </c>
      <c r="H72" s="613">
        <f t="shared" si="13"/>
        <v>2.5399003019865654</v>
      </c>
      <c r="I72" s="613">
        <f t="shared" si="13"/>
        <v>4.324549241911753</v>
      </c>
      <c r="J72" s="613">
        <f t="shared" si="13"/>
        <v>6.195055935806045</v>
      </c>
      <c r="K72" s="613">
        <f t="shared" si="13"/>
        <v>8.676319102550998</v>
      </c>
      <c r="L72" s="613">
        <f t="shared" si="13"/>
        <v>54.69328221618762</v>
      </c>
      <c r="M72" s="613">
        <f t="shared" si="13"/>
        <v>61.99356602155187</v>
      </c>
      <c r="N72" s="613">
        <f t="shared" si="13"/>
        <v>67.75342010870617</v>
      </c>
      <c r="O72" s="608">
        <f t="shared" si="13"/>
        <v>67.50236666586845</v>
      </c>
      <c r="P72" s="655"/>
    </row>
    <row r="83" ht="12.75"/>
    <row r="84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/>
  <mergeCells count="28">
    <mergeCell ref="A2:O2"/>
    <mergeCell ref="L65:L66"/>
    <mergeCell ref="M65:M66"/>
    <mergeCell ref="N65:N66"/>
    <mergeCell ref="O65:O66"/>
    <mergeCell ref="H65:H66"/>
    <mergeCell ref="I65:I66"/>
    <mergeCell ref="J65:J66"/>
    <mergeCell ref="K65:K66"/>
    <mergeCell ref="D65:D66"/>
    <mergeCell ref="I6:I7"/>
    <mergeCell ref="A63:O63"/>
    <mergeCell ref="J6:J7"/>
    <mergeCell ref="O6:O7"/>
    <mergeCell ref="K6:K7"/>
    <mergeCell ref="L6:L7"/>
    <mergeCell ref="M6:M7"/>
    <mergeCell ref="N6:N7"/>
    <mergeCell ref="D6:G6"/>
    <mergeCell ref="A6:A7"/>
    <mergeCell ref="B6:B7"/>
    <mergeCell ref="C6:C7"/>
    <mergeCell ref="H6:H7"/>
    <mergeCell ref="E65:E66"/>
    <mergeCell ref="F65:F66"/>
    <mergeCell ref="G65:G66"/>
    <mergeCell ref="B65:B66"/>
    <mergeCell ref="C65:C66"/>
  </mergeCells>
  <hyperlinks>
    <hyperlink ref="A1" location="Содержание!A1" display="Вернуться к содержанию"/>
  </hyperlinks>
  <printOptions/>
  <pageMargins left="0.38" right="0.28" top="0.68" bottom="0.54" header="0.38" footer="0.33"/>
  <pageSetup horizontalDpi="600" verticalDpi="600" orientation="landscape" paperSize="9" scale="6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681" customWidth="1"/>
    <col min="2" max="2" width="38.00390625" style="681" customWidth="1"/>
    <col min="3" max="3" width="8.375" style="681" customWidth="1"/>
    <col min="4" max="7" width="12.75390625" style="681" customWidth="1"/>
    <col min="8" max="16384" width="9.125" style="681" customWidth="1"/>
  </cols>
  <sheetData>
    <row r="1" spans="1:3" s="2" customFormat="1" ht="13.5" customHeight="1">
      <c r="A1" s="6" t="s">
        <v>129</v>
      </c>
      <c r="B1" s="7"/>
      <c r="C1" s="8"/>
    </row>
    <row r="2" s="8" customFormat="1" ht="13.5" customHeight="1">
      <c r="A2" s="44"/>
    </row>
    <row r="3" s="8" customFormat="1" ht="13.5" customHeight="1">
      <c r="A3" s="44"/>
    </row>
    <row r="4" spans="1:7" s="2" customFormat="1" ht="13.5" customHeight="1">
      <c r="A4" s="9"/>
      <c r="B4" s="1160" t="s">
        <v>30</v>
      </c>
      <c r="C4" s="1161"/>
      <c r="D4" s="1161"/>
      <c r="E4" s="1161"/>
      <c r="F4" s="1161"/>
      <c r="G4" s="1162"/>
    </row>
    <row r="5" spans="1:26" s="679" customFormat="1" ht="12.75" customHeight="1">
      <c r="A5" s="678"/>
      <c r="B5" s="1163" t="s">
        <v>31</v>
      </c>
      <c r="C5" s="1163" t="s">
        <v>32</v>
      </c>
      <c r="D5" s="1163" t="s">
        <v>33</v>
      </c>
      <c r="E5" s="1163" t="s">
        <v>33</v>
      </c>
      <c r="F5" s="1163" t="s">
        <v>33</v>
      </c>
      <c r="G5" s="1163" t="s">
        <v>33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679" customFormat="1" ht="12.75">
      <c r="A6" s="678"/>
      <c r="B6" s="1163"/>
      <c r="C6" s="1163"/>
      <c r="D6" s="1163"/>
      <c r="E6" s="1163"/>
      <c r="F6" s="1163"/>
      <c r="G6" s="116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315" customFormat="1" ht="12.75">
      <c r="A7" s="680"/>
      <c r="B7" s="1163"/>
      <c r="C7" s="1163"/>
      <c r="D7" s="764">
        <v>2006</v>
      </c>
      <c r="E7" s="764">
        <v>2007</v>
      </c>
      <c r="F7" s="764">
        <v>2008</v>
      </c>
      <c r="G7" s="764">
        <v>2009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.75" customHeight="1">
      <c r="A8" s="9"/>
      <c r="B8" s="1167" t="s">
        <v>34</v>
      </c>
      <c r="C8" s="1168"/>
      <c r="D8" s="1168"/>
      <c r="E8" s="1168"/>
      <c r="F8" s="1168"/>
      <c r="G8" s="116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5.5">
      <c r="A9" s="9"/>
      <c r="B9" s="686" t="s">
        <v>35</v>
      </c>
      <c r="C9" s="687" t="s">
        <v>36</v>
      </c>
      <c r="D9" s="1164">
        <f>'Стоимость компании'!C10/1000000</f>
        <v>16.071766299367255</v>
      </c>
      <c r="E9" s="1165"/>
      <c r="F9" s="1165"/>
      <c r="G9" s="1166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9"/>
      <c r="B10" s="682" t="s">
        <v>37</v>
      </c>
      <c r="C10" s="683" t="s">
        <v>36</v>
      </c>
      <c r="D10" s="1082">
        <f>('ОДР '!D9+'ОДР '!E9+'ОДР '!F9+'ОДР '!G9)/1000000</f>
        <v>4.197166666666667</v>
      </c>
      <c r="E10" s="1082">
        <f>'ОДР '!H9/1000000</f>
        <v>10.283050847457627</v>
      </c>
      <c r="F10" s="1083">
        <f>'ОДР '!I9/1000000</f>
        <v>22.256271186440678</v>
      </c>
      <c r="G10" s="1083">
        <f>'ОДР '!J9/1000000</f>
        <v>36.76610169491526</v>
      </c>
      <c r="H10" s="8"/>
      <c r="I10" s="108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9"/>
      <c r="B11" s="682" t="s">
        <v>38</v>
      </c>
      <c r="C11" s="683" t="s">
        <v>36</v>
      </c>
      <c r="D11" s="1051">
        <f>('ОДР '!D107+'ОДР '!E107+'ОДР '!F107+'ОДР '!G107)/1000000</f>
        <v>0.010466636974161005</v>
      </c>
      <c r="E11" s="959">
        <f>'ОДР '!H107/1000000</f>
        <v>1.7498572778312125</v>
      </c>
      <c r="F11" s="959">
        <f>'ОДР '!I107/1000000</f>
        <v>6.442958032043436</v>
      </c>
      <c r="G11" s="959">
        <f>'ОДР '!J107/1000000</f>
        <v>12.291268331866398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9"/>
      <c r="B12" s="682" t="s">
        <v>40</v>
      </c>
      <c r="C12" s="683"/>
      <c r="D12" s="1110">
        <f>D11/D10</f>
        <v>0.0024937387064673006</v>
      </c>
      <c r="E12" s="1110">
        <f>E11/E10</f>
        <v>0.17016907761997946</v>
      </c>
      <c r="F12" s="1110">
        <f>F11/F10</f>
        <v>0.2894895545651294</v>
      </c>
      <c r="G12" s="1110">
        <f>G11/G10</f>
        <v>0.3343098061866667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9"/>
      <c r="B13" s="682" t="s">
        <v>39</v>
      </c>
      <c r="C13" s="683" t="s">
        <v>36</v>
      </c>
      <c r="D13" s="1051">
        <f>SUM('ОДР '!D19:G19,'ОДР '!D31:G31,'ОДР '!D101:G101,'ОДР '!D106:G106)/1000000</f>
        <v>4.186700029692506</v>
      </c>
      <c r="E13" s="959">
        <f>SUM('ОДР '!H19,'ОДР '!H31,'ОДР '!H101)/1000000</f>
        <v>7.9806070608376105</v>
      </c>
      <c r="F13" s="959">
        <f>SUM('ОДР '!I19,'ОДР '!I31,'ОДР '!I101)/1000000</f>
        <v>13.778694828488785</v>
      </c>
      <c r="G13" s="959">
        <f>SUM('ОДР '!J19,'ОДР '!J31,'ОДР '!J101)/1000000</f>
        <v>20.593380205617365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9"/>
      <c r="B14" s="682" t="s">
        <v>146</v>
      </c>
      <c r="C14" s="683" t="s">
        <v>36</v>
      </c>
      <c r="D14" s="1051">
        <f>(ОДДС!D37+ОДДС!E37+ОДДС!F37+ОДДС!G37)/1000000</f>
        <v>-0.6299913996307592</v>
      </c>
      <c r="E14" s="1074">
        <f>ОДДС!H37/1000000</f>
        <v>0.0402665307646264</v>
      </c>
      <c r="F14" s="684">
        <f>ОДДС!I37/1000000</f>
        <v>3.797513145779712</v>
      </c>
      <c r="G14" s="684">
        <f>ОДДС!J37/1000000</f>
        <v>9.395639368764478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9"/>
      <c r="B15" s="682" t="s">
        <v>40</v>
      </c>
      <c r="C15" s="683" t="s">
        <v>41</v>
      </c>
      <c r="D15" s="1086">
        <f>('ОДР '!D94+'ОДР '!E94+'ОДР '!F94+'ОДР '!G94)/('ОДР '!D9+'ОДР '!E9+'ОДР '!F9+'ОДР '!G9)</f>
        <v>0.0049012145357125855</v>
      </c>
      <c r="E15" s="685">
        <f>'ОДР '!H94/'ОДР '!H9</f>
        <v>0.22617380980811103</v>
      </c>
      <c r="F15" s="685">
        <f>'ОДР '!I94/'ОДР '!I9</f>
        <v>0.38137066118798096</v>
      </c>
      <c r="G15" s="685">
        <f>'ОДР '!J94/'ОДР '!J9</f>
        <v>0.4398813239298247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>
      <c r="A16" s="9"/>
      <c r="B16" s="682" t="s">
        <v>42</v>
      </c>
      <c r="C16" s="683" t="s">
        <v>41</v>
      </c>
      <c r="D16" s="1086">
        <f>(('ОДР '!D107+'ОДР '!E107+'ОДР '!F107+'ОДР '!G107)*2)/(Баланс!G45+Баланс!C45)</f>
        <v>0.0072975361741784775</v>
      </c>
      <c r="E16" s="1052">
        <f>'Анализ эффективности'!H34</f>
        <v>57.102174905331374</v>
      </c>
      <c r="F16" s="1052">
        <f>'Анализ эффективности'!I34</f>
        <v>89.97489693580249</v>
      </c>
      <c r="G16" s="1052">
        <f>'Анализ эффективности'!J34</f>
        <v>74.36655046590931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.75" customHeight="1">
      <c r="A17" s="9"/>
      <c r="B17" s="682" t="s">
        <v>708</v>
      </c>
      <c r="C17" s="683" t="s">
        <v>41</v>
      </c>
      <c r="D17" s="1086">
        <f>('ОДР '!D94+'ОДР '!E94+'ОДР '!F94+'ОДР '!G94)*2/(Баланс!G46+Баланс!C46)</f>
        <v>0.01038241474108973</v>
      </c>
      <c r="E17" s="1052">
        <f>'Анализ эффективности'!H35</f>
        <v>57.538708485765945</v>
      </c>
      <c r="F17" s="1052">
        <f>'Анализ эффективности'!I35</f>
        <v>93.53705570849168</v>
      </c>
      <c r="G17" s="1052">
        <f>'Анализ эффективности'!J35</f>
        <v>82.46710429924248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5.5">
      <c r="A18" s="9"/>
      <c r="B18" s="682" t="s">
        <v>43</v>
      </c>
      <c r="C18" s="683" t="s">
        <v>36</v>
      </c>
      <c r="D18" s="1051">
        <f>'Анализ эффективности'!G38/1000000</f>
        <v>-0.006239564297541069</v>
      </c>
      <c r="E18" s="1074">
        <f>'Анализ эффективности'!H36/1000000</f>
        <v>1.7394767189797702</v>
      </c>
      <c r="F18" s="684">
        <f>'Анализ эффективности'!I36/1000000</f>
        <v>6.418701165354738</v>
      </c>
      <c r="G18" s="684">
        <f>'Анализ эффективности'!J36/1000000</f>
        <v>12.23528099374804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>
      <c r="A19" s="9"/>
      <c r="B19" s="688" t="s">
        <v>44</v>
      </c>
      <c r="C19" s="689" t="s">
        <v>45</v>
      </c>
      <c r="D19" s="1090">
        <f>('ОДР '!D9+'ОДР '!E9+'ОДР '!F9+'ОДР '!G9)/Налоги!G12</f>
        <v>144729.88505747129</v>
      </c>
      <c r="E19" s="1090">
        <f>'ОДР '!H9/Налоги!H12</f>
        <v>270606.6012488849</v>
      </c>
      <c r="F19" s="1090">
        <f>'ОДР '!I9/Налоги!I12</f>
        <v>585691.3470115968</v>
      </c>
      <c r="G19" s="1090">
        <f>'ОДР '!J9/Налоги!J12</f>
        <v>967528.9919714541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" customFormat="1" ht="13.5" customHeight="1">
      <c r="A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" s="2" customFormat="1" ht="13.5" customHeight="1">
      <c r="A21" s="9"/>
      <c r="B21" s="8"/>
      <c r="C21" s="8"/>
      <c r="D21" s="8"/>
    </row>
    <row r="22" spans="1:26" s="2" customFormat="1" ht="13.5" customHeight="1">
      <c r="A22" s="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="2" customFormat="1" ht="13.5" customHeight="1">
      <c r="A23" s="9"/>
    </row>
    <row r="24" spans="1:26" s="2" customFormat="1" ht="13.5" customHeight="1">
      <c r="A24" s="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="2" customFormat="1" ht="13.5" customHeight="1">
      <c r="A25" s="9"/>
    </row>
    <row r="26" spans="1:26" s="2" customFormat="1" ht="13.5" customHeight="1">
      <c r="A26" s="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="2" customFormat="1" ht="13.5" customHeight="1">
      <c r="A27" s="9"/>
    </row>
    <row r="28" spans="1:26" s="2" customFormat="1" ht="13.5" customHeight="1">
      <c r="A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2" customFormat="1" ht="13.5" customHeight="1">
      <c r="A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2" customFormat="1" ht="13.5" customHeight="1">
      <c r="A30" s="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2" customFormat="1" ht="13.5" customHeight="1">
      <c r="A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2" customFormat="1" ht="13.5" customHeight="1">
      <c r="A32" s="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2" customFormat="1" ht="13.5" customHeight="1">
      <c r="A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2" customFormat="1" ht="13.5" customHeight="1">
      <c r="A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2" customFormat="1" ht="13.5" customHeight="1">
      <c r="A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2" customFormat="1" ht="13.5" customHeight="1">
      <c r="A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2" customFormat="1" ht="13.5" customHeight="1">
      <c r="A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2" customFormat="1" ht="13.5" customHeight="1">
      <c r="A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2" customFormat="1" ht="13.5" customHeight="1">
      <c r="A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2" customFormat="1" ht="13.5" customHeight="1">
      <c r="A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2" customFormat="1" ht="13.5" customHeight="1">
      <c r="A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2" customFormat="1" ht="13.5" customHeight="1">
      <c r="A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</sheetData>
  <sheetProtection/>
  <mergeCells count="9">
    <mergeCell ref="B4:G4"/>
    <mergeCell ref="E5:E6"/>
    <mergeCell ref="F5:F6"/>
    <mergeCell ref="G5:G6"/>
    <mergeCell ref="D9:G9"/>
    <mergeCell ref="B8:G8"/>
    <mergeCell ref="B5:B7"/>
    <mergeCell ref="C5:C7"/>
    <mergeCell ref="D5:D6"/>
  </mergeCells>
  <hyperlinks>
    <hyperlink ref="A1" location="Содержание!A1" display="Вернуться к содержанию"/>
  </hyperlinks>
  <printOptions/>
  <pageMargins left="0.75" right="0.75" top="1" bottom="1" header="0.5" footer="0.5"/>
  <pageSetup orientation="portrait" paperSize="9"/>
  <ignoredErrors>
    <ignoredError sqref="D18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17"/>
  <sheetViews>
    <sheetView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4" sqref="F24"/>
    </sheetView>
  </sheetViews>
  <sheetFormatPr defaultColWidth="9.00390625" defaultRowHeight="12.75"/>
  <cols>
    <col min="1" max="1" width="5.75390625" style="2" customWidth="1"/>
    <col min="2" max="2" width="41.625" style="2" customWidth="1"/>
    <col min="3" max="3" width="14.875" style="2" hidden="1" customWidth="1"/>
    <col min="4" max="4" width="12.625" style="2" bestFit="1" customWidth="1"/>
    <col min="5" max="15" width="13.625" style="2" bestFit="1" customWidth="1"/>
    <col min="16" max="16384" width="9.125" style="2" customWidth="1"/>
  </cols>
  <sheetData>
    <row r="1" spans="1:3" ht="13.5" customHeight="1">
      <c r="A1" s="6" t="s">
        <v>129</v>
      </c>
      <c r="B1" s="7"/>
      <c r="C1" s="8"/>
    </row>
    <row r="2" s="8" customFormat="1" ht="13.5" customHeight="1">
      <c r="A2" s="44"/>
    </row>
    <row r="3" spans="1:2" s="8" customFormat="1" ht="13.5" customHeight="1">
      <c r="A3" s="44"/>
      <c r="B3" s="45" t="s">
        <v>46</v>
      </c>
    </row>
    <row r="4" ht="13.5" customHeight="1">
      <c r="A4" s="9"/>
    </row>
    <row r="5" spans="1:15" s="12" customFormat="1" ht="12.75" customHeight="1">
      <c r="A5" s="10"/>
      <c r="B5" s="1170" t="s">
        <v>234</v>
      </c>
      <c r="C5" s="1170" t="s">
        <v>68</v>
      </c>
      <c r="D5" s="1129">
        <f>Параметры!D3</f>
        <v>2006</v>
      </c>
      <c r="E5" s="1130"/>
      <c r="F5" s="1130"/>
      <c r="G5" s="1131"/>
      <c r="H5" s="1133">
        <f>D5+1</f>
        <v>2007</v>
      </c>
      <c r="I5" s="1133">
        <f aca="true" t="shared" si="0" ref="I5:O5">H5+1</f>
        <v>2008</v>
      </c>
      <c r="J5" s="1133">
        <f t="shared" si="0"/>
        <v>2009</v>
      </c>
      <c r="K5" s="1133">
        <f t="shared" si="0"/>
        <v>2010</v>
      </c>
      <c r="L5" s="1133">
        <f t="shared" si="0"/>
        <v>2011</v>
      </c>
      <c r="M5" s="1133">
        <f t="shared" si="0"/>
        <v>2012</v>
      </c>
      <c r="N5" s="1133">
        <f t="shared" si="0"/>
        <v>2013</v>
      </c>
      <c r="O5" s="1133">
        <f t="shared" si="0"/>
        <v>2014</v>
      </c>
    </row>
    <row r="6" spans="2:15" s="12" customFormat="1" ht="24.75" customHeight="1">
      <c r="B6" s="1171"/>
      <c r="C6" s="1171"/>
      <c r="D6" s="763" t="s">
        <v>725</v>
      </c>
      <c r="E6" s="763" t="s">
        <v>726</v>
      </c>
      <c r="F6" s="763" t="s">
        <v>727</v>
      </c>
      <c r="G6" s="763" t="s">
        <v>728</v>
      </c>
      <c r="H6" s="1134"/>
      <c r="I6" s="1134"/>
      <c r="J6" s="1134"/>
      <c r="K6" s="1134"/>
      <c r="L6" s="1134"/>
      <c r="M6" s="1134"/>
      <c r="N6" s="1134"/>
      <c r="O6" s="1134"/>
    </row>
    <row r="7" spans="2:15" ht="12" customHeight="1" hidden="1">
      <c r="B7" s="4" t="s">
        <v>47</v>
      </c>
      <c r="C7" s="690">
        <v>0</v>
      </c>
      <c r="D7" s="961">
        <v>1</v>
      </c>
      <c r="E7" s="962">
        <v>1</v>
      </c>
      <c r="F7" s="962">
        <v>1</v>
      </c>
      <c r="G7" s="963">
        <v>1</v>
      </c>
      <c r="H7" s="964">
        <f>G7+1</f>
        <v>2</v>
      </c>
      <c r="I7" s="964">
        <f aca="true" t="shared" si="1" ref="I7:O7">H7+1</f>
        <v>3</v>
      </c>
      <c r="J7" s="964">
        <f t="shared" si="1"/>
        <v>4</v>
      </c>
      <c r="K7" s="964">
        <f t="shared" si="1"/>
        <v>5</v>
      </c>
      <c r="L7" s="964">
        <f t="shared" si="1"/>
        <v>6</v>
      </c>
      <c r="M7" s="693">
        <f t="shared" si="1"/>
        <v>7</v>
      </c>
      <c r="N7" s="964">
        <f t="shared" si="1"/>
        <v>8</v>
      </c>
      <c r="O7" s="964">
        <f t="shared" si="1"/>
        <v>9</v>
      </c>
    </row>
    <row r="8" spans="2:15" ht="12.75">
      <c r="B8" s="4" t="s">
        <v>146</v>
      </c>
      <c r="C8" s="694">
        <v>0</v>
      </c>
      <c r="D8" s="705">
        <f>ОДДС!D37</f>
        <v>82613.7500324581</v>
      </c>
      <c r="E8" s="705">
        <f>ОДДС!E37</f>
        <v>-333103.8753126734</v>
      </c>
      <c r="F8" s="705">
        <f>ОДДС!F37</f>
        <v>-98198.40861741522</v>
      </c>
      <c r="G8" s="705">
        <f>ОДДС!G37</f>
        <v>-281302.86573312874</v>
      </c>
      <c r="H8" s="705">
        <f>ОДДС!H37</f>
        <v>40266.5307646264</v>
      </c>
      <c r="I8" s="705">
        <f>ОДДС!I37</f>
        <v>3797513.145779712</v>
      </c>
      <c r="J8" s="705">
        <f>ОДДС!J37</f>
        <v>9395639.368764477</v>
      </c>
      <c r="K8" s="705">
        <f>ОДДС!K37</f>
        <v>1397571.3209841598</v>
      </c>
      <c r="L8" s="705">
        <f>ОДДС!L37</f>
        <v>3893292.0058519137</v>
      </c>
      <c r="M8" s="965">
        <f>ОДДС!M37</f>
        <v>-115108.13927605192</v>
      </c>
      <c r="N8" s="705">
        <f>ОДДС!N37</f>
        <v>-98897.99941588825</v>
      </c>
      <c r="O8" s="705">
        <f>ОДДС!O37</f>
        <v>-70590.32530915107</v>
      </c>
    </row>
    <row r="9" spans="2:15" ht="12.75">
      <c r="B9" s="4" t="s">
        <v>48</v>
      </c>
      <c r="C9" s="694">
        <v>0</v>
      </c>
      <c r="D9" s="694">
        <f>PV(Параметры!$C$29,D7,,-D8)</f>
        <v>76494.21299301676</v>
      </c>
      <c r="E9" s="694">
        <f>PV(Параметры!$C$29,E7,,-E8)</f>
        <v>-308429.51417840127</v>
      </c>
      <c r="F9" s="694">
        <f>PV(Параметры!$C$29,F7,,-F8)</f>
        <v>-90924.45242353261</v>
      </c>
      <c r="G9" s="694">
        <f>PV(Параметры!$C$29,G7,,-G8)</f>
        <v>-260465.61641956362</v>
      </c>
      <c r="H9" s="694">
        <f>PV(Параметры!$C$29,H7,,-H8)</f>
        <v>34522.05998339025</v>
      </c>
      <c r="I9" s="694">
        <f>PV(Параметры!$C$29,I7,,-I8)</f>
        <v>3014588.370817863</v>
      </c>
      <c r="J9" s="694">
        <f>PV(Параметры!$C$29,J7,,-J8)</f>
        <v>6906075.422151514</v>
      </c>
      <c r="K9" s="694">
        <f>PV(Параметры!$C$29,K7,,-K8)</f>
        <v>951163.5577180849</v>
      </c>
      <c r="L9" s="694">
        <f>PV(Параметры!$C$29,L7,,-L8)</f>
        <v>2453434.3706746744</v>
      </c>
      <c r="M9" s="965">
        <f>PV(Параметры!$C$29,M7,,-M8)</f>
        <v>-67164.4936840723</v>
      </c>
      <c r="N9" s="694">
        <f>PV(Параметры!$C$29,N7,,-N8)</f>
        <v>-53431.511823898996</v>
      </c>
      <c r="O9" s="694">
        <f>PV(Параметры!$C$29,O7,,-O8)</f>
        <v>-35312.73732537651</v>
      </c>
    </row>
    <row r="10" spans="2:15" ht="12.75">
      <c r="B10" s="4" t="s">
        <v>49</v>
      </c>
      <c r="C10" s="698">
        <f>SUM($C$9:C9)</f>
        <v>0</v>
      </c>
      <c r="D10" s="698">
        <f>SUM($C$9:D9)</f>
        <v>76494.21299301676</v>
      </c>
      <c r="E10" s="698">
        <f>SUM($C$9:E9)</f>
        <v>-231935.3011853845</v>
      </c>
      <c r="F10" s="698">
        <f>SUM($C$9:F9)</f>
        <v>-322859.7536089171</v>
      </c>
      <c r="G10" s="698">
        <f>SUM($C$9:G9)</f>
        <v>-583325.3700284808</v>
      </c>
      <c r="H10" s="698">
        <f>SUM($C$9:H9)</f>
        <v>-548803.3100450905</v>
      </c>
      <c r="I10" s="698">
        <f>SUM($C$9:I9)</f>
        <v>2465785.0607727724</v>
      </c>
      <c r="J10" s="698">
        <f>SUM($C$9:J9)</f>
        <v>9371860.482924286</v>
      </c>
      <c r="K10" s="698">
        <f>SUM($C$9:K9)</f>
        <v>10323024.040642371</v>
      </c>
      <c r="L10" s="698">
        <f>SUM($C$9:L9)</f>
        <v>12776458.411317047</v>
      </c>
      <c r="M10" s="966">
        <f>SUM($C$9:M9)</f>
        <v>12709293.917632975</v>
      </c>
      <c r="N10" s="698">
        <f>SUM($C$9:N9)</f>
        <v>12655862.405809077</v>
      </c>
      <c r="O10" s="698">
        <f>SUM($C$9:O9)</f>
        <v>12620549.6684837</v>
      </c>
    </row>
    <row r="11" spans="2:15" ht="12.75" hidden="1">
      <c r="B11" s="327" t="s">
        <v>50</v>
      </c>
      <c r="C11" s="702" t="e">
        <f>IRR(C$8:$D8)*4</f>
        <v>#NUM!</v>
      </c>
      <c r="D11" s="703" t="e">
        <f>IRR($D$8:D8)*4</f>
        <v>#NUM!</v>
      </c>
      <c r="E11" s="702">
        <f>IRR($D$8:E8)*4</f>
        <v>12.128253477504664</v>
      </c>
      <c r="F11" s="702">
        <f>IRR($D$8:F8)*4</f>
        <v>13.231921330607193</v>
      </c>
      <c r="G11" s="702">
        <f>IRR($D$8:G8)*4</f>
        <v>13.87434415370635</v>
      </c>
      <c r="H11" s="703">
        <f>IRR($D$8:H8)*4</f>
        <v>13.855048615792782</v>
      </c>
      <c r="I11" s="703">
        <f>IRR($D$8:I8)*4</f>
        <v>3.5238448071315522</v>
      </c>
      <c r="J11" s="703">
        <f>IRR($D$8:J8)*4</f>
        <v>5.7528203395774575</v>
      </c>
      <c r="K11" s="703">
        <f>IRR($D$8:K8)*4</f>
        <v>5.8510457294752864</v>
      </c>
      <c r="L11" s="703">
        <f>IRR($D$8:L8)*4</f>
        <v>5.956500935710968</v>
      </c>
      <c r="M11" s="703">
        <f>IRR($D$8:M8)*4</f>
        <v>5.9552862538613525</v>
      </c>
      <c r="N11" s="703">
        <f>IRR($D$8:N8)*4</f>
        <v>5.954866641443019</v>
      </c>
      <c r="O11" s="703">
        <f>IRR($D$8:O8)*4</f>
        <v>5.9547462621389915</v>
      </c>
    </row>
    <row r="12" ht="12.75">
      <c r="C12" s="704"/>
    </row>
    <row r="14" spans="2:15" ht="12.75">
      <c r="B14" s="4" t="s">
        <v>51</v>
      </c>
      <c r="C14" s="705">
        <f>SUM(C15:C16)</f>
        <v>0</v>
      </c>
      <c r="D14" s="711">
        <f aca="true" t="shared" si="2" ref="D14:O14">SUM(D15:D16)</f>
        <v>0</v>
      </c>
      <c r="E14" s="691">
        <f t="shared" si="2"/>
        <v>0</v>
      </c>
      <c r="F14" s="691">
        <f t="shared" si="2"/>
        <v>1500000</v>
      </c>
      <c r="G14" s="691">
        <f t="shared" si="2"/>
        <v>0</v>
      </c>
      <c r="H14" s="691">
        <f t="shared" si="2"/>
        <v>300000</v>
      </c>
      <c r="I14" s="691">
        <f t="shared" si="2"/>
        <v>0</v>
      </c>
      <c r="J14" s="691">
        <f t="shared" si="2"/>
        <v>0</v>
      </c>
      <c r="K14" s="691">
        <f t="shared" si="2"/>
        <v>0</v>
      </c>
      <c r="L14" s="691">
        <f t="shared" si="2"/>
        <v>0</v>
      </c>
      <c r="M14" s="691">
        <f t="shared" si="2"/>
        <v>0</v>
      </c>
      <c r="N14" s="691">
        <f t="shared" si="2"/>
        <v>0</v>
      </c>
      <c r="O14" s="692">
        <f t="shared" si="2"/>
        <v>0</v>
      </c>
    </row>
    <row r="15" spans="2:15" s="42" customFormat="1" ht="12.75">
      <c r="B15" s="1047" t="s">
        <v>52</v>
      </c>
      <c r="C15" s="707">
        <f>БФД!C20</f>
        <v>0</v>
      </c>
      <c r="D15" s="960">
        <f>БФД!D20</f>
        <v>0</v>
      </c>
      <c r="E15" s="708">
        <f>БФД!E20</f>
        <v>0</v>
      </c>
      <c r="F15" s="708">
        <f>БФД!F20</f>
        <v>1500000</v>
      </c>
      <c r="G15" s="708">
        <f>БФД!G20</f>
        <v>0</v>
      </c>
      <c r="H15" s="708">
        <f>БФД!H20</f>
        <v>0</v>
      </c>
      <c r="I15" s="708">
        <f>БФД!I20</f>
        <v>0</v>
      </c>
      <c r="J15" s="708">
        <f>БФД!J20</f>
        <v>0</v>
      </c>
      <c r="K15" s="708">
        <f>БФД!K20</f>
        <v>0</v>
      </c>
      <c r="L15" s="708">
        <f>БФД!L20</f>
        <v>0</v>
      </c>
      <c r="M15" s="708">
        <f>БФД!M20</f>
        <v>0</v>
      </c>
      <c r="N15" s="708">
        <f>БФД!N20</f>
        <v>0</v>
      </c>
      <c r="O15" s="709">
        <f>БФД!O20</f>
        <v>0</v>
      </c>
    </row>
    <row r="16" spans="2:15" s="42" customFormat="1" ht="12.75">
      <c r="B16" s="706" t="s">
        <v>53</v>
      </c>
      <c r="C16" s="707">
        <f>БФД!C31+БФД!C56+БФД!C89</f>
        <v>0</v>
      </c>
      <c r="D16" s="960">
        <f>БФД!D31+БФД!D56+БФД!D89</f>
        <v>0</v>
      </c>
      <c r="E16" s="708">
        <f>БФД!E31+БФД!E56+БФД!E89</f>
        <v>0</v>
      </c>
      <c r="F16" s="708">
        <f>БФД!F31+БФД!F56+БФД!F89</f>
        <v>0</v>
      </c>
      <c r="G16" s="708">
        <f>БФД!G31+БФД!G56+БФД!G89</f>
        <v>0</v>
      </c>
      <c r="H16" s="708">
        <f>БФД!H31+БФД!H56+БФД!H89</f>
        <v>300000</v>
      </c>
      <c r="I16" s="708">
        <f>БФД!I31+БФД!I56+БФД!I89</f>
        <v>0</v>
      </c>
      <c r="J16" s="708">
        <f>БФД!J31+БФД!J56+БФД!J89</f>
        <v>0</v>
      </c>
      <c r="K16" s="708">
        <f>БФД!K31+БФД!K56+БФД!K89</f>
        <v>0</v>
      </c>
      <c r="L16" s="708">
        <f>БФД!L31+БФД!L56+БФД!L89</f>
        <v>0</v>
      </c>
      <c r="M16" s="708">
        <f>БФД!M31+БФД!M56+БФД!M89</f>
        <v>0</v>
      </c>
      <c r="N16" s="708">
        <f>БФД!N31+БФД!N56+БФД!N89</f>
        <v>0</v>
      </c>
      <c r="O16" s="709">
        <f>БФД!O31+БФД!O56+БФД!O89</f>
        <v>0</v>
      </c>
    </row>
    <row r="17" spans="2:15" ht="12.75">
      <c r="B17" s="4" t="s">
        <v>54</v>
      </c>
      <c r="C17" s="694">
        <f>C14</f>
        <v>0</v>
      </c>
      <c r="D17" s="712">
        <f>C17+D14</f>
        <v>0</v>
      </c>
      <c r="E17" s="695">
        <f aca="true" t="shared" si="3" ref="E17:O17">D17+E14</f>
        <v>0</v>
      </c>
      <c r="F17" s="695">
        <f t="shared" si="3"/>
        <v>1500000</v>
      </c>
      <c r="G17" s="695">
        <f t="shared" si="3"/>
        <v>1500000</v>
      </c>
      <c r="H17" s="695">
        <f t="shared" si="3"/>
        <v>1800000</v>
      </c>
      <c r="I17" s="695">
        <f t="shared" si="3"/>
        <v>1800000</v>
      </c>
      <c r="J17" s="695">
        <f t="shared" si="3"/>
        <v>1800000</v>
      </c>
      <c r="K17" s="695">
        <f t="shared" si="3"/>
        <v>1800000</v>
      </c>
      <c r="L17" s="695">
        <f t="shared" si="3"/>
        <v>1800000</v>
      </c>
      <c r="M17" s="695">
        <f t="shared" si="3"/>
        <v>1800000</v>
      </c>
      <c r="N17" s="695">
        <f t="shared" si="3"/>
        <v>1800000</v>
      </c>
      <c r="O17" s="696">
        <f t="shared" si="3"/>
        <v>1800000</v>
      </c>
    </row>
    <row r="18" spans="2:15" ht="12.75">
      <c r="B18" s="4" t="s">
        <v>55</v>
      </c>
      <c r="C18" s="698">
        <v>0</v>
      </c>
      <c r="D18" s="713">
        <f>D17/(1+Параметры!$C$29/100)^'Анализ эффективности'!D7</f>
        <v>0</v>
      </c>
      <c r="E18" s="699">
        <f>E17/(1+Параметры!$C$29/100)^'Анализ эффективности'!E7</f>
        <v>0</v>
      </c>
      <c r="F18" s="699">
        <f>F17/(1+Параметры!$C$29/100)^'Анализ эффективности'!F7</f>
        <v>1498800.9592326141</v>
      </c>
      <c r="G18" s="699">
        <f>G17/(1+Параметры!$C$29/100)^'Анализ эффективности'!G7</f>
        <v>1498800.9592326141</v>
      </c>
      <c r="H18" s="699">
        <f>H17/(1+Параметры!$C$29/100)^'Анализ эффективности'!H7</f>
        <v>1797123.452317283</v>
      </c>
      <c r="I18" s="699">
        <f>I17/(1+Параметры!$C$29/100)^'Анализ эффективности'!I7</f>
        <v>1795686.902795047</v>
      </c>
      <c r="J18" s="699">
        <f>J17/(1+Параметры!$C$29/100)^'Анализ эффективности'!J7</f>
        <v>1794251.5015937719</v>
      </c>
      <c r="K18" s="699">
        <f>K17/(1+Параметры!$C$29/100)^'Анализ эффективности'!K7</f>
        <v>1792817.2477955357</v>
      </c>
      <c r="L18" s="699">
        <f>L17/(1+Параметры!$C$29/100)^'Анализ эффективности'!L7</f>
        <v>1791384.140483149</v>
      </c>
      <c r="M18" s="699">
        <f>M17/(1+Параметры!$C$29/100)^'Анализ эффективности'!M7</f>
        <v>1789952.1787401573</v>
      </c>
      <c r="N18" s="699">
        <f>N17/(1+Параметры!$C$29/100)^'Анализ эффективности'!N7</f>
        <v>1788521.3616508364</v>
      </c>
      <c r="O18" s="700">
        <f>O17/(1+Параметры!$C$29/100)^'Анализ эффективности'!O7</f>
        <v>1787091.6883001963</v>
      </c>
    </row>
    <row r="20" spans="2:3" ht="12.75">
      <c r="B20" s="710"/>
      <c r="C20" s="704"/>
    </row>
    <row r="21" spans="2:15" ht="12.75">
      <c r="B21" s="5" t="s">
        <v>56</v>
      </c>
      <c r="C21" s="693"/>
      <c r="D21" s="711">
        <f>(Баланс!C25+Баланс!D25)/2</f>
        <v>1152710.867554965</v>
      </c>
      <c r="E21" s="691">
        <f>(Баланс!D25+Баланс!E25)/2</f>
        <v>1129391.2490671151</v>
      </c>
      <c r="F21" s="691">
        <f>(Баланс!E25+Баланс!F25)/2</f>
        <v>1966083.5684453873</v>
      </c>
      <c r="G21" s="691">
        <f>(Баланс!F25+Баланс!G25)/2</f>
        <v>2730198.296545421</v>
      </c>
      <c r="H21" s="691">
        <f>(Баланс!G25+Баланс!H25)/2</f>
        <v>4042073.323900496</v>
      </c>
      <c r="I21" s="691">
        <f>(Баланс!H25+Баланс!I25)/2</f>
        <v>9074359.668113142</v>
      </c>
      <c r="J21" s="691">
        <f>(Баланс!I25+Баланс!J25)/2</f>
        <v>19611118.429250404</v>
      </c>
      <c r="K21" s="691">
        <f>(Баланс!J25+Баланс!K25)/2</f>
        <v>25267116.31512711</v>
      </c>
      <c r="L21" s="691">
        <f>(Баланс!K25+Баланс!L25)/2</f>
        <v>22994643.686485074</v>
      </c>
      <c r="M21" s="691">
        <f>(Баланс!L25+Баланс!M25)/2</f>
        <v>21811433.663445458</v>
      </c>
      <c r="N21" s="691">
        <f>(Баланс!M25+Баланс!N25)/2</f>
        <v>21661261.695584808</v>
      </c>
      <c r="O21" s="692">
        <f>(Баланс!N25+Баланс!O25)/2</f>
        <v>21533348.634707607</v>
      </c>
    </row>
    <row r="22" spans="2:15" ht="12.75">
      <c r="B22" s="5" t="s">
        <v>57</v>
      </c>
      <c r="C22" s="697"/>
      <c r="D22" s="712">
        <f>(Баланс!C45+Баланс!D45)/2</f>
        <v>659588.0109674439</v>
      </c>
      <c r="E22" s="695">
        <f>(Баланс!D45+Баланс!E45)/2</f>
        <v>667533.226366912</v>
      </c>
      <c r="F22" s="695">
        <f>(Баланс!E45+Баланс!F45)/2</f>
        <v>1447123.5661606381</v>
      </c>
      <c r="G22" s="695">
        <f>(Баланс!F45+Баланс!G45)/2</f>
        <v>2194411.6692482503</v>
      </c>
      <c r="H22" s="695">
        <f>(Баланс!G45+Баланс!H45)/2</f>
        <v>3064431.925285277</v>
      </c>
      <c r="I22" s="695">
        <f>(Баланс!H45+Баланс!I45)/2</f>
        <v>7160839.580222601</v>
      </c>
      <c r="J22" s="695">
        <f>(Баланс!I45+Баланс!J45)/2</f>
        <v>16527952.76217752</v>
      </c>
      <c r="K22" s="695">
        <f>(Баланс!J45+Баланс!K45)/2</f>
        <v>22161968.714867573</v>
      </c>
      <c r="L22" s="695">
        <f>(Баланс!K45+Баланс!L45)/2</f>
        <v>21594444.604928073</v>
      </c>
      <c r="M22" s="695">
        <f>(Баланс!L45+Баланс!M45)/2</f>
        <v>21481002.929062378</v>
      </c>
      <c r="N22" s="695">
        <f>(Баланс!M45+Баланс!N45)/2</f>
        <v>21366259.45435241</v>
      </c>
      <c r="O22" s="696">
        <f>(Баланс!N45+Баланс!O45)/2</f>
        <v>21252172.146899868</v>
      </c>
    </row>
    <row r="23" spans="2:15" ht="12.75">
      <c r="B23" s="5" t="s">
        <v>58</v>
      </c>
      <c r="C23" s="697"/>
      <c r="D23" s="712">
        <f>(Баланс!C28+Баланс!D28+Баланс!C29+Баланс!D29+Баланс!C39+Баланс!D39)/2</f>
        <v>95833.5</v>
      </c>
      <c r="E23" s="695">
        <f>(Баланс!D28+Баланс!E28+Баланс!D29+Баланс!E29+Баланс!D39+Баланс!E39)/2</f>
        <v>79167.5</v>
      </c>
      <c r="F23" s="695">
        <f>(Баланс!E28+Баланс!F28+Баланс!E29+Баланс!F29+Баланс!E39+Баланс!F39)/2</f>
        <v>54168.5</v>
      </c>
      <c r="G23" s="695">
        <f>(Баланс!F28+Баланс!G28+Баланс!F29+Баланс!G29+Баланс!F39+Баланс!G39)/2</f>
        <v>29169.5</v>
      </c>
      <c r="H23" s="695">
        <f>(Баланс!G28+Баланс!H28+Баланс!G29+Баланс!H29+Баланс!G39+Баланс!H39)/2</f>
        <v>133335</v>
      </c>
      <c r="I23" s="695">
        <f>(Баланс!H28+Баланс!I28+Баланс!H29+Баланс!I29+Баланс!H39+Баланс!I39)/2</f>
        <v>125000</v>
      </c>
      <c r="J23" s="695">
        <f>(Баланс!I28+Баланс!J28+Баланс!I29+Баланс!J29+Баланс!I39+Баланс!J39)/2</f>
        <v>0</v>
      </c>
      <c r="K23" s="695">
        <f>(Баланс!J28+Баланс!K28+Баланс!J29+Баланс!K29+Баланс!J39+Баланс!K39)/2</f>
        <v>0</v>
      </c>
      <c r="L23" s="695">
        <f>(Баланс!K28+Баланс!L28+Баланс!K29+Баланс!L29+Баланс!K39+Баланс!L39)/2</f>
        <v>0</v>
      </c>
      <c r="M23" s="695">
        <f>(Баланс!L28+Баланс!M28+Баланс!L29+Баланс!M29+Баланс!L39+Баланс!M39)/2</f>
        <v>0</v>
      </c>
      <c r="N23" s="695">
        <f>(Баланс!M28+Баланс!N28+Баланс!M29+Баланс!N29+Баланс!M39+Баланс!N39)/2</f>
        <v>0</v>
      </c>
      <c r="O23" s="696">
        <f>(Баланс!N28+Баланс!O28+Баланс!N29+Баланс!O29+Баланс!N39+Баланс!O39)/2</f>
        <v>0</v>
      </c>
    </row>
    <row r="24" spans="2:15" ht="12.75">
      <c r="B24" s="5" t="s">
        <v>59</v>
      </c>
      <c r="C24" s="697"/>
      <c r="D24" s="967">
        <f>D22</f>
        <v>659588.0109674439</v>
      </c>
      <c r="E24" s="695">
        <f aca="true" t="shared" si="4" ref="E24:O24">E22</f>
        <v>667533.226366912</v>
      </c>
      <c r="F24" s="695">
        <f t="shared" si="4"/>
        <v>1447123.5661606381</v>
      </c>
      <c r="G24" s="695">
        <f t="shared" si="4"/>
        <v>2194411.6692482503</v>
      </c>
      <c r="H24" s="695">
        <f t="shared" si="4"/>
        <v>3064431.925285277</v>
      </c>
      <c r="I24" s="695">
        <f t="shared" si="4"/>
        <v>7160839.580222601</v>
      </c>
      <c r="J24" s="695">
        <f t="shared" si="4"/>
        <v>16527952.76217752</v>
      </c>
      <c r="K24" s="695">
        <f t="shared" si="4"/>
        <v>22161968.714867573</v>
      </c>
      <c r="L24" s="695">
        <f t="shared" si="4"/>
        <v>21594444.604928073</v>
      </c>
      <c r="M24" s="695">
        <f t="shared" si="4"/>
        <v>21481002.929062378</v>
      </c>
      <c r="N24" s="695">
        <f t="shared" si="4"/>
        <v>21366259.45435241</v>
      </c>
      <c r="O24" s="696">
        <f t="shared" si="4"/>
        <v>21252172.146899868</v>
      </c>
    </row>
    <row r="25" spans="2:15" ht="12.75">
      <c r="B25" s="1039" t="s">
        <v>60</v>
      </c>
      <c r="C25" s="697"/>
      <c r="D25" s="1087">
        <f>Параметры!$C$30</f>
        <v>0.3387433333333334</v>
      </c>
      <c r="E25" s="1088">
        <f>Параметры!$C$30</f>
        <v>0.3387433333333334</v>
      </c>
      <c r="F25" s="1088">
        <f>Параметры!$C$30</f>
        <v>0.3387433333333334</v>
      </c>
      <c r="G25" s="1088">
        <f>Параметры!$C$30</f>
        <v>0.3387433333333334</v>
      </c>
      <c r="H25" s="1088">
        <f>Параметры!$C$30</f>
        <v>0.3387433333333334</v>
      </c>
      <c r="I25" s="1088">
        <f>Параметры!$C$30</f>
        <v>0.3387433333333334</v>
      </c>
      <c r="J25" s="1088">
        <f>Параметры!$C$30</f>
        <v>0.3387433333333334</v>
      </c>
      <c r="K25" s="1088">
        <f>Параметры!$C$30</f>
        <v>0.3387433333333334</v>
      </c>
      <c r="L25" s="1088">
        <f>Параметры!$C$30</f>
        <v>0.3387433333333334</v>
      </c>
      <c r="M25" s="1088">
        <f>Параметры!$C$30</f>
        <v>0.3387433333333334</v>
      </c>
      <c r="N25" s="1088">
        <f>Параметры!$C$30</f>
        <v>0.3387433333333334</v>
      </c>
      <c r="O25" s="1089">
        <f>Параметры!$C$30</f>
        <v>0.3387433333333334</v>
      </c>
    </row>
    <row r="26" spans="2:15" ht="12.75">
      <c r="B26" s="5" t="s">
        <v>61</v>
      </c>
      <c r="C26" s="697"/>
      <c r="D26" s="712">
        <f aca="true" t="shared" si="5" ref="D26:O26">IF(D22&lt;0,0,D22*D25/100)</f>
        <v>2234.310414618152</v>
      </c>
      <c r="E26" s="695">
        <f t="shared" si="5"/>
        <v>2261.224302102824</v>
      </c>
      <c r="F26" s="695">
        <f t="shared" si="5"/>
        <v>4902.034605464752</v>
      </c>
      <c r="G26" s="695">
        <f t="shared" si="5"/>
        <v>7433.423235467166</v>
      </c>
      <c r="H26" s="695">
        <f t="shared" si="5"/>
        <v>10380.55885144219</v>
      </c>
      <c r="I26" s="695">
        <f t="shared" si="5"/>
        <v>24256.866688698716</v>
      </c>
      <c r="J26" s="695">
        <f t="shared" si="5"/>
        <v>55987.33811835888</v>
      </c>
      <c r="K26" s="695">
        <f t="shared" si="5"/>
        <v>75072.19155703293</v>
      </c>
      <c r="L26" s="695">
        <f t="shared" si="5"/>
        <v>73149.74146955353</v>
      </c>
      <c r="M26" s="695">
        <f t="shared" si="5"/>
        <v>72765.46535533688</v>
      </c>
      <c r="N26" s="695">
        <f t="shared" si="5"/>
        <v>72376.77948432184</v>
      </c>
      <c r="O26" s="696">
        <f t="shared" si="5"/>
        <v>71990.31633614685</v>
      </c>
    </row>
    <row r="27" spans="2:15" ht="12.75">
      <c r="B27" s="5" t="s">
        <v>62</v>
      </c>
      <c r="C27" s="697"/>
      <c r="D27" s="712">
        <f>'ОДР '!D107</f>
        <v>-38897.27685613127</v>
      </c>
      <c r="E27" s="695">
        <f>'ОДР '!E107</f>
        <v>54787.707655067425</v>
      </c>
      <c r="F27" s="695">
        <f>'ОДР '!F107</f>
        <v>4392.971932384807</v>
      </c>
      <c r="G27" s="695">
        <f>'ОДР '!G107</f>
        <v>-9816.765757159958</v>
      </c>
      <c r="H27" s="695">
        <f>'ОДР '!H107</f>
        <v>1749857.2778312124</v>
      </c>
      <c r="I27" s="695">
        <f>'ОДР '!I107</f>
        <v>6442958.032043437</v>
      </c>
      <c r="J27" s="695">
        <f>'ОДР '!J107</f>
        <v>12291268.331866398</v>
      </c>
      <c r="K27" s="695">
        <f>'ОДР '!K107</f>
        <v>-1023236.4264862912</v>
      </c>
      <c r="L27" s="695">
        <f>'ОДР '!L107</f>
        <v>-111811.7933927101</v>
      </c>
      <c r="M27" s="695">
        <f>'ОДР '!M107</f>
        <v>-115071.5583386776</v>
      </c>
      <c r="N27" s="695">
        <f>'ОДР '!N107</f>
        <v>-114415.39108125365</v>
      </c>
      <c r="O27" s="696">
        <f>'ОДР '!O107</f>
        <v>-113759.22382383156</v>
      </c>
    </row>
    <row r="28" spans="2:15" ht="12.75">
      <c r="B28" s="5" t="s">
        <v>63</v>
      </c>
      <c r="C28" s="701"/>
      <c r="D28" s="713">
        <f>D27-ОДДС!D49</f>
        <v>-38897.27685613127</v>
      </c>
      <c r="E28" s="699">
        <f>E27-ОДДС!E49</f>
        <v>54787.707655067425</v>
      </c>
      <c r="F28" s="699">
        <f>F27-ОДДС!F49</f>
        <v>4392.971932384807</v>
      </c>
      <c r="G28" s="699">
        <f>G27-ОДДС!G49</f>
        <v>-9816.765757159958</v>
      </c>
      <c r="H28" s="699">
        <f>H27-ОДДС!H49</f>
        <v>1749857.2778312124</v>
      </c>
      <c r="I28" s="699">
        <f>I27-ОДДС!I49</f>
        <v>6442958.032043437</v>
      </c>
      <c r="J28" s="699">
        <f>J27-ОДДС!J49</f>
        <v>12291268.331866398</v>
      </c>
      <c r="K28" s="699">
        <f>K27-ОДДС!K49</f>
        <v>-1023236.4264862912</v>
      </c>
      <c r="L28" s="699">
        <f>L27-ОДДС!L49</f>
        <v>-111811.7933927101</v>
      </c>
      <c r="M28" s="699">
        <f>M27-ОДДС!M49</f>
        <v>-115071.5583386776</v>
      </c>
      <c r="N28" s="699">
        <f>N27-ОДДС!N49</f>
        <v>-114415.39108125365</v>
      </c>
      <c r="O28" s="700">
        <f>O27-ОДДС!O49</f>
        <v>-113759.22382383156</v>
      </c>
    </row>
    <row r="29" spans="2:3" ht="12.75">
      <c r="B29" s="710"/>
      <c r="C29" s="704"/>
    </row>
    <row r="31" spans="2:15" ht="12.75">
      <c r="B31" s="5" t="s">
        <v>710</v>
      </c>
      <c r="C31" s="693">
        <v>0</v>
      </c>
      <c r="D31" s="711">
        <f>IF('ОДР '!D9=0,0,ОДДС!D31/'ОДР '!D9*100)</f>
        <v>20.854557427717012</v>
      </c>
      <c r="E31" s="691">
        <f>IF('ОДР '!E9=0,0,ОДДС!E31/'ОДР '!E9*100)</f>
        <v>-15.223236709021059</v>
      </c>
      <c r="F31" s="691">
        <f>IF('ОДР '!F9=0,0,ОДДС!F31/'ОДР '!F9*100)</f>
        <v>-2.2334388513235477</v>
      </c>
      <c r="G31" s="691">
        <f>IF('ОДР '!G9=0,0,ОДДС!G31/'ОДР '!G9*100)</f>
        <v>-8.529196098342878</v>
      </c>
      <c r="H31" s="691">
        <f>IF('ОДР '!H9=0,0,ОДДС!H31/'ОДР '!H9*100)</f>
        <v>5.296794839463981</v>
      </c>
      <c r="I31" s="691">
        <f>IF('ОДР '!I9=0,0,ОДДС!I31/'ОДР '!I9*100)</f>
        <v>19.854855097191724</v>
      </c>
      <c r="J31" s="691">
        <f>IF('ОДР '!J9=0,0,ОДДС!J31/'ОДР '!J9*100)</f>
        <v>27.603704636550138</v>
      </c>
      <c r="K31" s="691">
        <f>IF('ОДР '!K9=0,0,ОДДС!K31/'ОДР '!K9*100)</f>
        <v>178.3182164967923</v>
      </c>
      <c r="L31" s="691">
        <f>IF('ОДР '!L9=0,0,ОДДС!L31/'ОДР '!L9*100)</f>
        <v>764.3314280713917</v>
      </c>
      <c r="M31" s="691">
        <f>IF('ОДР '!M9=0,0,ОДДС!M31/'ОДР '!M9*100)</f>
        <v>0</v>
      </c>
      <c r="N31" s="691">
        <f>IF('ОДР '!N9=0,0,ОДДС!N31/'ОДР '!N9*100)</f>
        <v>0</v>
      </c>
      <c r="O31" s="692">
        <f>IF('ОДР '!O9=0,0,ОДДС!O31/'ОДР '!O9*100)</f>
        <v>0</v>
      </c>
    </row>
    <row r="32" spans="2:15" ht="25.5">
      <c r="B32" s="5" t="s">
        <v>711</v>
      </c>
      <c r="C32" s="697">
        <v>0</v>
      </c>
      <c r="D32" s="712">
        <f>IF(D24=0,0,ОДДС!D31/D24*100)</f>
        <v>24.60161625846704</v>
      </c>
      <c r="E32" s="695">
        <f>IF(E24=0,0,ОДДС!E31/E24*100)</f>
        <v>-24.55133100850363</v>
      </c>
      <c r="F32" s="695">
        <f>IF(F24=0,0,ОДДС!F31/F24*100)</f>
        <v>-1.7531075096435835</v>
      </c>
      <c r="G32" s="695">
        <f>IF(G24=0,0,ОДДС!G31/G24*100)</f>
        <v>-4.689789138692496</v>
      </c>
      <c r="H32" s="695">
        <f>IF(H24=0,0,ОДДС!H31/H24*100)</f>
        <v>17.773999224240807</v>
      </c>
      <c r="I32" s="695">
        <f>IF(I24=0,0,ОДДС!I31/I24*100)</f>
        <v>61.709948178569064</v>
      </c>
      <c r="J32" s="695">
        <f>IF(J24=0,0,ОДДС!J31/J24*100)</f>
        <v>61.40389111870247</v>
      </c>
      <c r="K32" s="695">
        <f>IF(K24=0,0,ОДДС!K31/K24*100)</f>
        <v>6.477821435460775</v>
      </c>
      <c r="L32" s="695">
        <f>IF(L24=0,0,ОДДС!L31/L24*100)</f>
        <v>18.237329748985605</v>
      </c>
      <c r="M32" s="695">
        <f>IF(M24=0,0,ОДДС!M31/M24*100)</f>
        <v>-0.5358601721538718</v>
      </c>
      <c r="N32" s="695">
        <f>IF(N24=0,0,ОДДС!N31/N24*100)</f>
        <v>-0.4628699732266064</v>
      </c>
      <c r="O32" s="696">
        <f>IF(O24=0,0,ОДДС!O31/O24*100)</f>
        <v>-0.3321558136326707</v>
      </c>
    </row>
    <row r="33" spans="2:15" ht="12.75">
      <c r="B33" s="5" t="s">
        <v>712</v>
      </c>
      <c r="C33" s="697">
        <v>0</v>
      </c>
      <c r="D33" s="712">
        <f>IF('ОДР '!D9=0,0,'ОДР '!D94/'ОДР '!D9*100)</f>
        <v>-4.655349808010702</v>
      </c>
      <c r="E33" s="695">
        <f>IF('ОДР '!E9=0,0,'ОДР '!E94/'ОДР '!E9*100)</f>
        <v>5.746810471592919</v>
      </c>
      <c r="F33" s="695">
        <f>IF('ОДР '!F9=0,0,'ОДР '!F94/'ОДР '!F9*100)</f>
        <v>0.629904662102484</v>
      </c>
      <c r="G33" s="695">
        <f>IF('ОДР '!G9=0,0,'ОДР '!G94/'ОДР '!G9*100)</f>
        <v>-1.0134959273076976</v>
      </c>
      <c r="H33" s="695">
        <f>IF('ОДР '!H9=0,0,'ОДР '!H94/'ОДР '!H9*100)</f>
        <v>22.617380980811102</v>
      </c>
      <c r="I33" s="695">
        <f>IF('ОДР '!I9=0,0,'ОДР '!I94/'ОДР '!I9*100)</f>
        <v>38.137066118798096</v>
      </c>
      <c r="J33" s="695">
        <f>IF('ОДР '!J9=0,0,'ОДР '!J94/'ОДР '!J9*100)</f>
        <v>43.98813239298247</v>
      </c>
      <c r="K33" s="695">
        <f>IF('ОДР '!K9=0,0,'ОДР '!K94/'ОДР '!K9*100)</f>
        <v>-167.23254615703937</v>
      </c>
      <c r="L33" s="695">
        <f>IF('ОДР '!L9=0,0,'ОДР '!L94/'ОДР '!L9*100)</f>
        <v>-28.553046269779735</v>
      </c>
      <c r="M33" s="695">
        <f>IF('ОДР '!M9=0,0,'ОДР '!M94/'ОДР '!M9*100)</f>
        <v>0</v>
      </c>
      <c r="N33" s="695">
        <f>IF('ОДР '!N9=0,0,'ОДР '!N94/'ОДР '!N9*100)</f>
        <v>0</v>
      </c>
      <c r="O33" s="696">
        <f>IF('ОДР '!O9=0,0,'ОДР '!O94/'ОДР '!O9*100)</f>
        <v>0</v>
      </c>
    </row>
    <row r="34" spans="2:15" ht="25.5">
      <c r="B34" s="5" t="s">
        <v>713</v>
      </c>
      <c r="C34" s="697">
        <v>0</v>
      </c>
      <c r="D34" s="712">
        <f>IF(D22=0,0,'ОДР '!D107/D22*100)</f>
        <v>-5.8972079857969355</v>
      </c>
      <c r="E34" s="695">
        <f>IF(E22=0,0,'ОДР '!E107/E22*100)</f>
        <v>8.207487731098071</v>
      </c>
      <c r="F34" s="695">
        <f>IF(F22=0,0,'ОДР '!F107/F22*100)</f>
        <v>0.3035657793922737</v>
      </c>
      <c r="G34" s="695">
        <f>IF(G22=0,0,'ОДР '!G107/G22*100)</f>
        <v>-0.4473529691228325</v>
      </c>
      <c r="H34" s="695">
        <f>IF(H22=0,0,'ОДР '!H107/H22*100)</f>
        <v>57.102174905331374</v>
      </c>
      <c r="I34" s="695">
        <f>IF(I22=0,0,'ОДР '!I107/I22*100)</f>
        <v>89.97489693580249</v>
      </c>
      <c r="J34" s="695">
        <f>IF(J22=0,0,'ОДР '!J107/J22*100)</f>
        <v>74.36655046590931</v>
      </c>
      <c r="K34" s="695">
        <f>IF(K22=0,0,'ОДР '!K107/K22*100)</f>
        <v>-4.617082713413646</v>
      </c>
      <c r="L34" s="695">
        <f>IF(L22=0,0,'ОДР '!L107/L22*100)</f>
        <v>-0.5177803617472686</v>
      </c>
      <c r="M34" s="695">
        <f>IF(M22=0,0,'ОДР '!M107/M22*100)</f>
        <v>-0.5356898777896137</v>
      </c>
      <c r="N34" s="695">
        <f>IF(N22=0,0,'ОДР '!N107/N22*100)</f>
        <v>-0.5354956553143733</v>
      </c>
      <c r="O34" s="696">
        <f>IF(O22=0,0,'ОДР '!O107/O22*100)</f>
        <v>-0.5352828079760592</v>
      </c>
    </row>
    <row r="35" spans="2:15" ht="25.5">
      <c r="B35" s="5" t="s">
        <v>714</v>
      </c>
      <c r="C35" s="697">
        <v>0</v>
      </c>
      <c r="D35" s="712">
        <f>IF(D21=0,0,'ОДР '!D94/D21*100)</f>
        <v>-3.142442556559312</v>
      </c>
      <c r="E35" s="695">
        <f>IF(E21=0,0,'ОДР '!E94/E21*100)</f>
        <v>5.4780171162812215</v>
      </c>
      <c r="F35" s="695">
        <f>IF(F21=0,0,'ОДР '!F94/F21*100)</f>
        <v>0.36392588655220554</v>
      </c>
      <c r="G35" s="695">
        <f>IF(G21=0,0,'ОДР '!G94/G21*100)</f>
        <v>-0.4479103907715458</v>
      </c>
      <c r="H35" s="695">
        <f>IF(H21=0,0,'ОДР '!H94/H21*100)</f>
        <v>57.538708485765945</v>
      </c>
      <c r="I35" s="695">
        <f>IF(I21=0,0,'ОДР '!I94/I21*100)</f>
        <v>93.53705570849168</v>
      </c>
      <c r="J35" s="695">
        <f>IF(J21=0,0,'ОДР '!J94/J21*100)</f>
        <v>82.46710429924248</v>
      </c>
      <c r="K35" s="695">
        <f>IF(K21=0,0,'ОДР '!K94/K21*100)</f>
        <v>-5.328521475380469</v>
      </c>
      <c r="L35" s="695">
        <f>IF(L21=0,0,'ОДР '!L94/L21*100)</f>
        <v>-0.6398045683410661</v>
      </c>
      <c r="M35" s="695">
        <f>IF(M21=0,0,'ОДР '!M94/M21*100)</f>
        <v>-0.6941769510374871</v>
      </c>
      <c r="N35" s="695">
        <f>IF(N21=0,0,'ОДР '!N94/N21*100)</f>
        <v>-0.6950036859711727</v>
      </c>
      <c r="O35" s="696">
        <f>IF(O21=0,0,'ОДР '!O94/O21*100)</f>
        <v>-0.6951226759066266</v>
      </c>
    </row>
    <row r="36" spans="2:15" ht="12.75">
      <c r="B36" s="5" t="s">
        <v>43</v>
      </c>
      <c r="C36" s="697">
        <f aca="true" t="shared" si="6" ref="C36:O36">C27-C26</f>
        <v>0</v>
      </c>
      <c r="D36" s="712">
        <f>D27-D26</f>
        <v>-41131.58727074942</v>
      </c>
      <c r="E36" s="695">
        <f t="shared" si="6"/>
        <v>52526.4833529646</v>
      </c>
      <c r="F36" s="695">
        <f t="shared" si="6"/>
        <v>-509.06267307994494</v>
      </c>
      <c r="G36" s="695">
        <f t="shared" si="6"/>
        <v>-17250.188992627125</v>
      </c>
      <c r="H36" s="695">
        <f t="shared" si="6"/>
        <v>1739476.71897977</v>
      </c>
      <c r="I36" s="695">
        <f t="shared" si="6"/>
        <v>6418701.165354738</v>
      </c>
      <c r="J36" s="695">
        <f t="shared" si="6"/>
        <v>12235280.993748039</v>
      </c>
      <c r="K36" s="695">
        <f t="shared" si="6"/>
        <v>-1098308.6180433242</v>
      </c>
      <c r="L36" s="695">
        <f t="shared" si="6"/>
        <v>-184961.53486226362</v>
      </c>
      <c r="M36" s="695">
        <f t="shared" si="6"/>
        <v>-187837.02369401447</v>
      </c>
      <c r="N36" s="695">
        <f t="shared" si="6"/>
        <v>-186792.17056557548</v>
      </c>
      <c r="O36" s="696">
        <f t="shared" si="6"/>
        <v>-185749.5401599784</v>
      </c>
    </row>
    <row r="37" spans="2:15" ht="12.75">
      <c r="B37" s="5" t="s">
        <v>64</v>
      </c>
      <c r="C37" s="697"/>
      <c r="D37" s="712">
        <f>PV(Параметры!$C$29/4,D7,,-D36)</f>
        <v>-40325.085559558254</v>
      </c>
      <c r="E37" s="695">
        <f>PV(Параметры!$C$29/4,E7,,-E36)</f>
        <v>51496.55230682804</v>
      </c>
      <c r="F37" s="695">
        <f>PV(Параметры!$C$29/4,F7,,-F36)</f>
        <v>-499.0810520391617</v>
      </c>
      <c r="G37" s="695">
        <f>PV(Параметры!$C$29/4,G7,,-G36)</f>
        <v>-16911.94999277169</v>
      </c>
      <c r="H37" s="695">
        <f>PV(Параметры!$C$29,H7,,-H36)</f>
        <v>1491320.9181925326</v>
      </c>
      <c r="I37" s="695">
        <f>PV(Параметры!$C$29,I7,,-I36)</f>
        <v>5095371.930532326</v>
      </c>
      <c r="J37" s="695">
        <f>PV(Параметры!$C$29,J7,,-J36)</f>
        <v>8993296.787757864</v>
      </c>
      <c r="K37" s="695">
        <f>PV(Параметры!$C$29,K7,,-K36)</f>
        <v>-747490.3905976487</v>
      </c>
      <c r="L37" s="695">
        <f>PV(Параметры!$C$29,L7,,-L36)</f>
        <v>-116557.141411879</v>
      </c>
      <c r="M37" s="695">
        <f>PV(Параметры!$C$29,M7,,-M36)</f>
        <v>-109601.0992000833</v>
      </c>
      <c r="N37" s="695">
        <f>PV(Параметры!$C$29,N7,,-N36)</f>
        <v>-100917.99762516626</v>
      </c>
      <c r="O37" s="696">
        <f>PV(Параметры!$C$29,O7,,-O36)</f>
        <v>-92921.01561017266</v>
      </c>
    </row>
    <row r="38" spans="2:15" ht="12.75">
      <c r="B38" s="5" t="s">
        <v>65</v>
      </c>
      <c r="C38" s="701"/>
      <c r="D38" s="713">
        <f>SUM($D$37:D37)</f>
        <v>-40325.085559558254</v>
      </c>
      <c r="E38" s="699">
        <f>SUM($D$37:E37)</f>
        <v>11171.466747269784</v>
      </c>
      <c r="F38" s="699">
        <f>SUM($D$37:F37)</f>
        <v>10672.385695230621</v>
      </c>
      <c r="G38" s="699">
        <f>SUM($D$37:G37)</f>
        <v>-6239.564297541068</v>
      </c>
      <c r="H38" s="699">
        <f>SUM($D$37:H37)</f>
        <v>1485081.3538949916</v>
      </c>
      <c r="I38" s="699">
        <f>SUM($D$37:I37)</f>
        <v>6580453.284427318</v>
      </c>
      <c r="J38" s="699">
        <f>SUM($D$37:J37)</f>
        <v>15573750.072185181</v>
      </c>
      <c r="K38" s="699">
        <f>SUM($D$37:K37)</f>
        <v>14826259.681587532</v>
      </c>
      <c r="L38" s="699">
        <f>SUM($D$37:L37)</f>
        <v>14709702.540175654</v>
      </c>
      <c r="M38" s="699">
        <f>SUM($D$37:M37)</f>
        <v>14600101.440975571</v>
      </c>
      <c r="N38" s="699">
        <f>SUM($D$37:N37)</f>
        <v>14499183.443350405</v>
      </c>
      <c r="O38" s="700">
        <f>SUM($D$37:O37)</f>
        <v>14406262.427740231</v>
      </c>
    </row>
    <row r="110" ht="12.75">
      <c r="D110" s="69"/>
    </row>
    <row r="116" spans="3:4" ht="12.75">
      <c r="C116" s="714"/>
      <c r="D116" s="714"/>
    </row>
    <row r="117" ht="12.75">
      <c r="B117" s="715"/>
    </row>
  </sheetData>
  <sheetProtection/>
  <mergeCells count="11">
    <mergeCell ref="N5:N6"/>
    <mergeCell ref="O5:O6"/>
    <mergeCell ref="I5:I6"/>
    <mergeCell ref="J5:J6"/>
    <mergeCell ref="K5:K6"/>
    <mergeCell ref="L5:L6"/>
    <mergeCell ref="B5:B6"/>
    <mergeCell ref="C5:C6"/>
    <mergeCell ref="H5:H6"/>
    <mergeCell ref="D5:G5"/>
    <mergeCell ref="M5:M6"/>
  </mergeCells>
  <hyperlinks>
    <hyperlink ref="A1" location="Содержание!A1" display="Вернуться к содержанию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75390625" style="2" customWidth="1"/>
    <col min="2" max="2" width="46.00390625" style="2" bestFit="1" customWidth="1"/>
    <col min="3" max="3" width="13.00390625" style="2" bestFit="1" customWidth="1"/>
    <col min="4" max="4" width="13.25390625" style="2" customWidth="1"/>
    <col min="5" max="9" width="13.00390625" style="2" bestFit="1" customWidth="1"/>
    <col min="10" max="11" width="13.00390625" style="2" hidden="1" customWidth="1"/>
    <col min="12" max="14" width="12.00390625" style="2" hidden="1" customWidth="1"/>
    <col min="15" max="16384" width="9.125" style="2" customWidth="1"/>
  </cols>
  <sheetData>
    <row r="1" spans="1:2" ht="13.5" customHeight="1">
      <c r="A1" s="6" t="s">
        <v>129</v>
      </c>
      <c r="B1" s="7"/>
    </row>
    <row r="2" s="8" customFormat="1" ht="13.5" customHeight="1">
      <c r="A2" s="44"/>
    </row>
    <row r="3" spans="1:2" s="8" customFormat="1" ht="13.5" customHeight="1">
      <c r="A3" s="44"/>
      <c r="B3" s="45" t="s">
        <v>66</v>
      </c>
    </row>
    <row r="4" ht="13.5" customHeight="1">
      <c r="A4" s="9"/>
    </row>
    <row r="5" spans="1:14" s="12" customFormat="1" ht="12.75" customHeight="1">
      <c r="A5" s="10"/>
      <c r="B5" s="1170" t="s">
        <v>234</v>
      </c>
      <c r="C5" s="1129">
        <f>Параметры!D3</f>
        <v>2006</v>
      </c>
      <c r="D5" s="1130"/>
      <c r="E5" s="1130"/>
      <c r="F5" s="1131"/>
      <c r="G5" s="1133">
        <f>C5+1</f>
        <v>2007</v>
      </c>
      <c r="H5" s="1133">
        <f aca="true" t="shared" si="0" ref="H5:N5">G5+1</f>
        <v>2008</v>
      </c>
      <c r="I5" s="1133">
        <f t="shared" si="0"/>
        <v>2009</v>
      </c>
      <c r="J5" s="1133">
        <f t="shared" si="0"/>
        <v>2010</v>
      </c>
      <c r="K5" s="1133">
        <f t="shared" si="0"/>
        <v>2011</v>
      </c>
      <c r="L5" s="1133">
        <f t="shared" si="0"/>
        <v>2012</v>
      </c>
      <c r="M5" s="1133">
        <f t="shared" si="0"/>
        <v>2013</v>
      </c>
      <c r="N5" s="1133">
        <f t="shared" si="0"/>
        <v>2014</v>
      </c>
    </row>
    <row r="6" spans="2:14" s="12" customFormat="1" ht="24.75" customHeight="1">
      <c r="B6" s="1171"/>
      <c r="C6" s="763" t="s">
        <v>725</v>
      </c>
      <c r="D6" s="763" t="s">
        <v>726</v>
      </c>
      <c r="E6" s="763" t="s">
        <v>727</v>
      </c>
      <c r="F6" s="763" t="s">
        <v>728</v>
      </c>
      <c r="G6" s="1134"/>
      <c r="H6" s="1134"/>
      <c r="I6" s="1134"/>
      <c r="J6" s="1134"/>
      <c r="K6" s="1134"/>
      <c r="L6" s="1134"/>
      <c r="M6" s="1134"/>
      <c r="N6" s="1134"/>
    </row>
    <row r="7" spans="2:14" ht="12.75">
      <c r="B7" s="4" t="s">
        <v>146</v>
      </c>
      <c r="C7" s="999">
        <f>ОДДС!D37</f>
        <v>82613.7500324581</v>
      </c>
      <c r="D7" s="1000">
        <f>ОДДС!E37</f>
        <v>-333103.8753126734</v>
      </c>
      <c r="E7" s="1000">
        <f>ОДДС!F37</f>
        <v>-98198.40861741522</v>
      </c>
      <c r="F7" s="1001">
        <f>ОДДС!G37</f>
        <v>-281302.86573312874</v>
      </c>
      <c r="G7" s="697">
        <f>ОДДС!H37</f>
        <v>40266.5307646264</v>
      </c>
      <c r="H7" s="697">
        <f>ОДДС!I37</f>
        <v>3797513.145779712</v>
      </c>
      <c r="I7" s="697">
        <f>ОДДС!J37</f>
        <v>9395639.368764477</v>
      </c>
      <c r="J7" s="697">
        <f>ОДДС!K37</f>
        <v>1397571.3209841598</v>
      </c>
      <c r="K7" s="697">
        <f>ОДДС!L37</f>
        <v>3893292.0058519137</v>
      </c>
      <c r="L7" s="697">
        <f>ОДДС!M37</f>
        <v>-115108.13927605192</v>
      </c>
      <c r="M7" s="697">
        <f>ОДДС!N37</f>
        <v>-98897.99941588825</v>
      </c>
      <c r="N7" s="697">
        <f>ОДДС!O37</f>
        <v>-70590.32530915107</v>
      </c>
    </row>
    <row r="8" spans="2:14" ht="12.75">
      <c r="B8" s="4" t="s">
        <v>48</v>
      </c>
      <c r="C8" s="1172">
        <f>(C7+D7+E7+F7)/(1+$C$12)^(C5-2006)</f>
        <v>-629991.3996307593</v>
      </c>
      <c r="D8" s="1173"/>
      <c r="E8" s="1173"/>
      <c r="F8" s="1174"/>
      <c r="G8" s="701">
        <f aca="true" t="shared" si="1" ref="G8:N8">G7/(1+$C$12)^(G5-2006)</f>
        <v>30077.857168010592</v>
      </c>
      <c r="H8" s="701">
        <f t="shared" si="1"/>
        <v>2118871.6176911774</v>
      </c>
      <c r="I8" s="701">
        <f t="shared" si="1"/>
        <v>3915925.0917132553</v>
      </c>
      <c r="J8" s="701">
        <f t="shared" si="1"/>
        <v>435095.60407765704</v>
      </c>
      <c r="K8" s="701">
        <f t="shared" si="1"/>
        <v>905378.9068991976</v>
      </c>
      <c r="L8" s="701">
        <f t="shared" si="1"/>
        <v>-19995.032147283117</v>
      </c>
      <c r="M8" s="701">
        <f t="shared" si="1"/>
        <v>-12832.3518321213</v>
      </c>
      <c r="N8" s="701">
        <f t="shared" si="1"/>
        <v>-6841.740756677439</v>
      </c>
    </row>
    <row r="9" spans="2:14" ht="12.75">
      <c r="B9" s="1036" t="s">
        <v>791</v>
      </c>
      <c r="C9" s="1035">
        <f>((I7*(1+C20))/(C12-C20))/((1+C12)^(J5-C5))</f>
        <v>10636883.13242557</v>
      </c>
      <c r="D9" s="1032"/>
      <c r="E9" s="1032"/>
      <c r="F9" s="1032"/>
      <c r="G9" s="716"/>
      <c r="H9" s="716"/>
      <c r="I9" s="716"/>
      <c r="J9" s="716"/>
      <c r="K9" s="716"/>
      <c r="L9" s="716"/>
      <c r="M9" s="716"/>
      <c r="N9" s="716"/>
    </row>
    <row r="10" spans="2:3" ht="12.75">
      <c r="B10" s="327" t="s">
        <v>67</v>
      </c>
      <c r="C10" s="698">
        <f>C8+G8+H8+I8+C9</f>
        <v>16071766.299367255</v>
      </c>
    </row>
    <row r="11" spans="2:3" ht="12.75">
      <c r="B11" s="36"/>
      <c r="C11" s="716"/>
    </row>
    <row r="12" spans="2:3" ht="12.75">
      <c r="B12" s="993" t="s">
        <v>777</v>
      </c>
      <c r="C12" s="1033">
        <f>(C14*C17)+(C15*C18)</f>
        <v>0.3387433333333334</v>
      </c>
    </row>
    <row r="13" spans="2:3" ht="12.75">
      <c r="B13" s="994"/>
      <c r="C13" s="995"/>
    </row>
    <row r="14" spans="2:3" ht="12.75">
      <c r="B14" s="996" t="s">
        <v>746</v>
      </c>
      <c r="C14" s="1050">
        <v>0.15</v>
      </c>
    </row>
    <row r="15" spans="2:3" ht="12.75">
      <c r="B15" s="996" t="s">
        <v>747</v>
      </c>
      <c r="C15" s="1034">
        <f>C45</f>
        <v>0.3387433333333334</v>
      </c>
    </row>
    <row r="16" spans="2:3" ht="12.75">
      <c r="B16" s="996" t="s">
        <v>748</v>
      </c>
      <c r="C16" s="995"/>
    </row>
    <row r="17" spans="2:4" ht="12.75">
      <c r="B17" s="1049" t="s">
        <v>749</v>
      </c>
      <c r="C17" s="997">
        <f>D17/$D$19</f>
        <v>0</v>
      </c>
      <c r="D17" s="1037">
        <f>Баланс!G40</f>
        <v>0</v>
      </c>
    </row>
    <row r="18" spans="2:4" ht="12.75">
      <c r="B18" s="1049" t="s">
        <v>57</v>
      </c>
      <c r="C18" s="997">
        <f>100%-C17</f>
        <v>1</v>
      </c>
      <c r="D18" s="1037">
        <f>Баланс!G45</f>
        <v>2189503.2863696706</v>
      </c>
    </row>
    <row r="19" spans="2:4" ht="12.75">
      <c r="B19" s="1021" t="s">
        <v>217</v>
      </c>
      <c r="C19" s="1022">
        <f>C17+C18</f>
        <v>1</v>
      </c>
      <c r="D19" s="1037">
        <f>D17+D18</f>
        <v>2189503.2863696706</v>
      </c>
    </row>
    <row r="20" spans="1:3" ht="22.5">
      <c r="A20" s="36"/>
      <c r="B20" s="1023" t="s">
        <v>770</v>
      </c>
      <c r="C20" s="1091">
        <v>0.05</v>
      </c>
    </row>
    <row r="21" spans="2:3" ht="12.75">
      <c r="B21" s="1021"/>
      <c r="C21" s="998"/>
    </row>
    <row r="22" spans="1:4" ht="12.75">
      <c r="A22" s="36"/>
      <c r="B22" s="36"/>
      <c r="C22" s="36"/>
      <c r="D22" s="36"/>
    </row>
    <row r="23" spans="1:4" ht="12.75">
      <c r="A23" s="36"/>
      <c r="B23" s="1024" t="s">
        <v>771</v>
      </c>
      <c r="C23" s="1003"/>
      <c r="D23" s="1003"/>
    </row>
    <row r="24" spans="1:4" ht="12.75">
      <c r="A24" s="36"/>
      <c r="B24" s="1025" t="s">
        <v>772</v>
      </c>
      <c r="C24" s="1003"/>
      <c r="D24" s="1003"/>
    </row>
    <row r="25" spans="1:4" ht="12.75">
      <c r="A25" s="36"/>
      <c r="B25" s="1025"/>
      <c r="C25" s="1003"/>
      <c r="D25" s="1003"/>
    </row>
    <row r="26" spans="1:4" ht="12.75">
      <c r="A26" s="36"/>
      <c r="B26" s="1025"/>
      <c r="C26" s="1003"/>
      <c r="D26" s="1003"/>
    </row>
    <row r="27" spans="1:4" ht="12.75">
      <c r="A27" s="36"/>
      <c r="B27" s="1025"/>
      <c r="C27" s="1003"/>
      <c r="D27" s="1003"/>
    </row>
    <row r="28" spans="1:4" ht="12.75">
      <c r="A28" s="36"/>
      <c r="B28" s="1025"/>
      <c r="C28" s="1003"/>
      <c r="D28" s="1003"/>
    </row>
    <row r="29" spans="1:4" ht="12.75">
      <c r="A29" s="36"/>
      <c r="B29" s="1025"/>
      <c r="C29" s="1003"/>
      <c r="D29" s="1003"/>
    </row>
    <row r="30" spans="1:4" ht="12.75">
      <c r="A30" s="36"/>
      <c r="B30" s="1025"/>
      <c r="C30" s="1003"/>
      <c r="D30" s="1003"/>
    </row>
    <row r="31" spans="1:4" ht="12.75">
      <c r="A31" s="36"/>
      <c r="B31" s="1025"/>
      <c r="C31" s="1003"/>
      <c r="D31" s="1003"/>
    </row>
    <row r="32" spans="1:4" ht="12.75">
      <c r="A32" s="36"/>
      <c r="B32" s="1025"/>
      <c r="C32" s="1003"/>
      <c r="D32" s="1003"/>
    </row>
    <row r="33" spans="1:4" ht="12.75">
      <c r="A33" s="36"/>
      <c r="B33" s="1025"/>
      <c r="C33" s="1003"/>
      <c r="D33" s="1003"/>
    </row>
    <row r="34" spans="1:4" ht="12.75">
      <c r="A34" s="36"/>
      <c r="B34" s="1025"/>
      <c r="C34" s="1003"/>
      <c r="D34" s="1003"/>
    </row>
    <row r="35" spans="1:4" ht="12.75">
      <c r="A35" s="36"/>
      <c r="B35" s="1025"/>
      <c r="C35" s="1003"/>
      <c r="D35" s="1003"/>
    </row>
    <row r="36" spans="1:4" ht="12.75">
      <c r="A36" s="36"/>
      <c r="B36" s="1025"/>
      <c r="C36" s="1003"/>
      <c r="D36" s="1003"/>
    </row>
    <row r="37" spans="1:4" ht="12.75">
      <c r="A37" s="36"/>
      <c r="B37" s="1025"/>
      <c r="C37" s="1003"/>
      <c r="D37" s="1003"/>
    </row>
    <row r="38" spans="1:4" ht="12.75">
      <c r="A38" s="36"/>
      <c r="B38" s="1025"/>
      <c r="C38" s="1003"/>
      <c r="D38" s="1003"/>
    </row>
    <row r="39" spans="1:4" ht="12.75">
      <c r="A39" s="36"/>
      <c r="B39" s="1025"/>
      <c r="C39" s="1003"/>
      <c r="D39" s="1003"/>
    </row>
    <row r="40" spans="1:4" ht="12.75">
      <c r="A40" s="36"/>
      <c r="B40" s="1026" t="s">
        <v>773</v>
      </c>
      <c r="C40" s="1027">
        <v>0.0422</v>
      </c>
      <c r="D40" s="1003"/>
    </row>
    <row r="41" spans="1:4" ht="22.5">
      <c r="A41" s="36"/>
      <c r="B41" s="1043" t="s">
        <v>789</v>
      </c>
      <c r="C41" s="1028">
        <v>1.83</v>
      </c>
      <c r="D41" s="1003"/>
    </row>
    <row r="42" spans="1:4" ht="22.5">
      <c r="A42" s="36"/>
      <c r="B42" s="1026" t="s">
        <v>778</v>
      </c>
      <c r="C42" s="1029">
        <v>0.137</v>
      </c>
      <c r="D42" s="1003"/>
    </row>
    <row r="43" spans="1:4" ht="22.5">
      <c r="A43" s="36"/>
      <c r="B43" s="1026" t="s">
        <v>774</v>
      </c>
      <c r="C43" s="1029">
        <v>0</v>
      </c>
      <c r="D43" s="1003"/>
    </row>
    <row r="44" spans="1:4" ht="22.5">
      <c r="A44" s="36"/>
      <c r="B44" s="1043" t="s">
        <v>775</v>
      </c>
      <c r="C44" s="1030">
        <f>D65/100</f>
        <v>0.04583333333333334</v>
      </c>
      <c r="D44" s="1003"/>
    </row>
    <row r="45" spans="1:4" ht="12.75">
      <c r="A45" s="36"/>
      <c r="B45" s="1025" t="s">
        <v>776</v>
      </c>
      <c r="C45" s="1031">
        <f>C40+C41*C42+C43+C44</f>
        <v>0.3387433333333334</v>
      </c>
      <c r="D45" s="1018"/>
    </row>
    <row r="46" spans="1:4" ht="12.75">
      <c r="A46" s="36"/>
      <c r="B46" s="36"/>
      <c r="C46" s="36"/>
      <c r="D46" s="36"/>
    </row>
    <row r="48" spans="2:9" ht="12.75">
      <c r="B48" s="1002" t="s">
        <v>750</v>
      </c>
      <c r="C48" s="1002"/>
      <c r="D48" s="1003"/>
      <c r="E48" s="1003"/>
      <c r="F48" s="1004"/>
      <c r="G48" s="1004"/>
      <c r="H48" s="1004"/>
      <c r="I48" s="1004"/>
    </row>
    <row r="49" spans="2:9" ht="22.5">
      <c r="B49" s="1005" t="s">
        <v>751</v>
      </c>
      <c r="C49" s="1006" t="s">
        <v>752</v>
      </c>
      <c r="D49" s="1175" t="s">
        <v>753</v>
      </c>
      <c r="E49" s="1176"/>
      <c r="F49" s="1176"/>
      <c r="G49" s="1176"/>
      <c r="H49" s="1176"/>
      <c r="I49" s="1177"/>
    </row>
    <row r="50" spans="2:9" ht="12.75">
      <c r="B50" s="1007"/>
      <c r="C50" s="1020"/>
      <c r="D50" s="1178" t="s">
        <v>754</v>
      </c>
      <c r="E50" s="1177"/>
      <c r="F50" s="1179" t="s">
        <v>755</v>
      </c>
      <c r="G50" s="1177"/>
      <c r="H50" s="1178" t="s">
        <v>756</v>
      </c>
      <c r="I50" s="1177"/>
    </row>
    <row r="51" spans="2:9" ht="12.75">
      <c r="B51" s="1007"/>
      <c r="C51" s="1175" t="s">
        <v>757</v>
      </c>
      <c r="D51" s="1176"/>
      <c r="E51" s="1176"/>
      <c r="F51" s="1176"/>
      <c r="G51" s="1176"/>
      <c r="H51" s="1176"/>
      <c r="I51" s="1176"/>
    </row>
    <row r="52" spans="2:9" ht="12.75">
      <c r="B52" s="1007"/>
      <c r="C52" s="1008">
        <v>0</v>
      </c>
      <c r="D52" s="1009">
        <v>0.4166666666666667</v>
      </c>
      <c r="E52" s="1009">
        <v>1.25</v>
      </c>
      <c r="F52" s="1008">
        <v>2.0833333333333335</v>
      </c>
      <c r="G52" s="1008">
        <v>2.916666666666667</v>
      </c>
      <c r="H52" s="1009">
        <v>3.75</v>
      </c>
      <c r="I52" s="1009">
        <v>4.583333333333334</v>
      </c>
    </row>
    <row r="53" spans="2:9" ht="12.75">
      <c r="B53" s="1010" t="s">
        <v>758</v>
      </c>
      <c r="C53" s="1011">
        <v>1</v>
      </c>
      <c r="D53" s="1012">
        <v>0</v>
      </c>
      <c r="E53" s="1012"/>
      <c r="F53" s="1011"/>
      <c r="G53" s="1011"/>
      <c r="H53" s="1012"/>
      <c r="I53" s="1012"/>
    </row>
    <row r="54" spans="2:9" ht="12.75">
      <c r="B54" s="1010" t="s">
        <v>759</v>
      </c>
      <c r="C54" s="1011">
        <v>0</v>
      </c>
      <c r="D54" s="1012"/>
      <c r="E54" s="1012">
        <v>1</v>
      </c>
      <c r="F54" s="1013">
        <v>0</v>
      </c>
      <c r="G54" s="1013"/>
      <c r="H54" s="1014"/>
      <c r="I54" s="1014"/>
    </row>
    <row r="55" spans="2:9" ht="12.75">
      <c r="B55" s="1010" t="s">
        <v>760</v>
      </c>
      <c r="C55" s="1011"/>
      <c r="D55" s="1012">
        <v>1</v>
      </c>
      <c r="E55" s="1012">
        <v>0</v>
      </c>
      <c r="F55" s="1013"/>
      <c r="G55" s="1013"/>
      <c r="H55" s="1014">
        <v>0</v>
      </c>
      <c r="I55" s="1014"/>
    </row>
    <row r="56" spans="2:9" ht="12.75">
      <c r="B56" s="1010" t="s">
        <v>761</v>
      </c>
      <c r="C56" s="1011">
        <v>0</v>
      </c>
      <c r="D56" s="1014">
        <v>1</v>
      </c>
      <c r="E56" s="1014"/>
      <c r="F56" s="1013"/>
      <c r="G56" s="1013"/>
      <c r="H56" s="1014"/>
      <c r="I56" s="1014"/>
    </row>
    <row r="57" spans="2:9" ht="12.75">
      <c r="B57" s="1010" t="s">
        <v>762</v>
      </c>
      <c r="C57" s="1011">
        <v>0</v>
      </c>
      <c r="D57" s="1014">
        <v>1</v>
      </c>
      <c r="E57" s="1014"/>
      <c r="F57" s="1013"/>
      <c r="G57" s="1013"/>
      <c r="H57" s="1014"/>
      <c r="I57" s="1014"/>
    </row>
    <row r="58" spans="2:9" ht="12.75">
      <c r="B58" s="1010" t="s">
        <v>763</v>
      </c>
      <c r="C58" s="1011">
        <v>0</v>
      </c>
      <c r="D58" s="1014">
        <v>1</v>
      </c>
      <c r="E58" s="1014"/>
      <c r="F58" s="1013"/>
      <c r="G58" s="1013"/>
      <c r="H58" s="1014"/>
      <c r="I58" s="1014"/>
    </row>
    <row r="59" spans="2:9" ht="12.75">
      <c r="B59" s="1010" t="s">
        <v>764</v>
      </c>
      <c r="C59" s="1011">
        <v>0</v>
      </c>
      <c r="D59" s="1014">
        <v>1</v>
      </c>
      <c r="E59" s="1014">
        <v>0</v>
      </c>
      <c r="F59" s="1013"/>
      <c r="G59" s="1013"/>
      <c r="H59" s="1014">
        <v>0</v>
      </c>
      <c r="I59" s="1014"/>
    </row>
    <row r="60" spans="2:9" ht="12.75">
      <c r="B60" s="1010" t="s">
        <v>765</v>
      </c>
      <c r="C60" s="1011">
        <v>0</v>
      </c>
      <c r="D60" s="1014"/>
      <c r="E60" s="1014">
        <v>0</v>
      </c>
      <c r="F60" s="1013">
        <v>0</v>
      </c>
      <c r="G60" s="1013"/>
      <c r="H60" s="1014"/>
      <c r="I60" s="1014">
        <v>0</v>
      </c>
    </row>
    <row r="61" spans="2:9" ht="12.75">
      <c r="B61" s="1010" t="s">
        <v>766</v>
      </c>
      <c r="C61" s="1011"/>
      <c r="D61" s="1012"/>
      <c r="E61" s="1012">
        <v>0</v>
      </c>
      <c r="F61" s="1013">
        <v>0</v>
      </c>
      <c r="G61" s="1013"/>
      <c r="H61" s="1014"/>
      <c r="I61" s="1014"/>
    </row>
    <row r="62" spans="2:9" ht="12.75">
      <c r="B62" s="1010" t="s">
        <v>767</v>
      </c>
      <c r="C62" s="1011"/>
      <c r="D62" s="1012"/>
      <c r="E62" s="1012">
        <v>1</v>
      </c>
      <c r="F62" s="1013">
        <v>0</v>
      </c>
      <c r="G62" s="1013"/>
      <c r="H62" s="1014">
        <v>0</v>
      </c>
      <c r="I62" s="1014"/>
    </row>
    <row r="63" spans="2:9" ht="12.75">
      <c r="B63" s="1015" t="s">
        <v>768</v>
      </c>
      <c r="C63" s="1016">
        <f aca="true" t="shared" si="2" ref="C63:I63">SUM(C53:C62)</f>
        <v>1</v>
      </c>
      <c r="D63" s="1017">
        <f t="shared" si="2"/>
        <v>5</v>
      </c>
      <c r="E63" s="1017">
        <f t="shared" si="2"/>
        <v>2</v>
      </c>
      <c r="F63" s="1016">
        <f t="shared" si="2"/>
        <v>0</v>
      </c>
      <c r="G63" s="1016">
        <f t="shared" si="2"/>
        <v>0</v>
      </c>
      <c r="H63" s="1017">
        <f t="shared" si="2"/>
        <v>0</v>
      </c>
      <c r="I63" s="1017">
        <f t="shared" si="2"/>
        <v>0</v>
      </c>
    </row>
    <row r="64" spans="2:9" ht="12.75">
      <c r="B64" s="1003"/>
      <c r="C64" s="1003"/>
      <c r="D64" s="1003"/>
      <c r="E64" s="1003"/>
      <c r="F64" s="1004"/>
      <c r="G64" s="1004"/>
      <c r="H64" s="1004"/>
      <c r="I64" s="1004"/>
    </row>
    <row r="65" spans="2:9" ht="12.75">
      <c r="B65" s="1018" t="s">
        <v>769</v>
      </c>
      <c r="C65" s="1018"/>
      <c r="D65" s="1019">
        <f>SUMPRODUCT(D52:I52,D63:I63)</f>
        <v>4.583333333333334</v>
      </c>
      <c r="E65" s="1003"/>
      <c r="F65" s="1004"/>
      <c r="G65" s="1004"/>
      <c r="H65" s="1004"/>
      <c r="I65" s="1004"/>
    </row>
    <row r="92" ht="12.75">
      <c r="C92" s="69"/>
    </row>
    <row r="98" ht="12.75">
      <c r="C98" s="714"/>
    </row>
    <row r="99" ht="12.75">
      <c r="B99" s="715"/>
    </row>
  </sheetData>
  <sheetProtection/>
  <mergeCells count="16">
    <mergeCell ref="N5:N6"/>
    <mergeCell ref="H5:H6"/>
    <mergeCell ref="I5:I6"/>
    <mergeCell ref="J5:J6"/>
    <mergeCell ref="K5:K6"/>
    <mergeCell ref="C51:I51"/>
    <mergeCell ref="D49:I49"/>
    <mergeCell ref="D50:E50"/>
    <mergeCell ref="F50:G50"/>
    <mergeCell ref="H50:I50"/>
    <mergeCell ref="B5:B6"/>
    <mergeCell ref="G5:G6"/>
    <mergeCell ref="C5:F5"/>
    <mergeCell ref="C8:F8"/>
    <mergeCell ref="L5:L6"/>
    <mergeCell ref="M5:M6"/>
  </mergeCells>
  <hyperlinks>
    <hyperlink ref="A1" location="Содержание!A1" display="Вернуться к содержани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58"/>
  <sheetViews>
    <sheetView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2" customWidth="1"/>
    <col min="2" max="2" width="61.625" style="2" customWidth="1"/>
    <col min="3" max="3" width="10.25390625" style="2" customWidth="1"/>
    <col min="4" max="15" width="13.00390625" style="2" bestFit="1" customWidth="1"/>
    <col min="16" max="19" width="12.00390625" style="2" hidden="1" customWidth="1"/>
    <col min="20" max="20" width="11.25390625" style="2" hidden="1" customWidth="1"/>
    <col min="21" max="23" width="10.625" style="2" hidden="1" customWidth="1"/>
    <col min="24" max="16384" width="9.125" style="2" customWidth="1"/>
  </cols>
  <sheetData>
    <row r="1" spans="2:3" ht="13.5" customHeight="1">
      <c r="B1" s="6" t="s">
        <v>129</v>
      </c>
      <c r="C1" s="8"/>
    </row>
    <row r="2" ht="13.5" customHeight="1">
      <c r="A2" s="9"/>
    </row>
    <row r="3" spans="1:23" s="12" customFormat="1" ht="28.5" customHeight="1">
      <c r="A3" s="10"/>
      <c r="B3" s="1123" t="s">
        <v>504</v>
      </c>
      <c r="C3" s="1125" t="s">
        <v>130</v>
      </c>
      <c r="D3" s="1129">
        <v>2006</v>
      </c>
      <c r="E3" s="1130"/>
      <c r="F3" s="1130"/>
      <c r="G3" s="1131"/>
      <c r="H3" s="1119">
        <f>D3+1</f>
        <v>2007</v>
      </c>
      <c r="I3" s="1119">
        <f>H3+1</f>
        <v>2008</v>
      </c>
      <c r="J3" s="1119">
        <f aca="true" t="shared" si="0" ref="J3:O3">I3+1</f>
        <v>2009</v>
      </c>
      <c r="K3" s="1119">
        <f t="shared" si="0"/>
        <v>2010</v>
      </c>
      <c r="L3" s="1119">
        <f t="shared" si="0"/>
        <v>2011</v>
      </c>
      <c r="M3" s="1119">
        <f t="shared" si="0"/>
        <v>2012</v>
      </c>
      <c r="N3" s="1119">
        <f t="shared" si="0"/>
        <v>2013</v>
      </c>
      <c r="O3" s="1121">
        <f t="shared" si="0"/>
        <v>2014</v>
      </c>
      <c r="P3" s="1128">
        <v>2010</v>
      </c>
      <c r="Q3" s="1127"/>
      <c r="R3" s="1127"/>
      <c r="S3" s="1127"/>
      <c r="T3" s="1127">
        <v>2011</v>
      </c>
      <c r="U3" s="1127"/>
      <c r="V3" s="1127"/>
      <c r="W3" s="1127"/>
    </row>
    <row r="4" spans="1:23" s="12" customFormat="1" ht="21" customHeight="1">
      <c r="A4" s="10"/>
      <c r="B4" s="1124"/>
      <c r="C4" s="1126"/>
      <c r="D4" s="763" t="s">
        <v>721</v>
      </c>
      <c r="E4" s="763" t="s">
        <v>722</v>
      </c>
      <c r="F4" s="763" t="s">
        <v>723</v>
      </c>
      <c r="G4" s="763" t="s">
        <v>724</v>
      </c>
      <c r="H4" s="1120"/>
      <c r="I4" s="1120"/>
      <c r="J4" s="1120"/>
      <c r="K4" s="1120"/>
      <c r="L4" s="1120"/>
      <c r="M4" s="1120"/>
      <c r="N4" s="1120"/>
      <c r="O4" s="1122"/>
      <c r="P4" s="548"/>
      <c r="Q4" s="548"/>
      <c r="R4" s="548"/>
      <c r="S4" s="977"/>
      <c r="T4" s="548"/>
      <c r="U4" s="548"/>
      <c r="V4" s="548"/>
      <c r="W4" s="977"/>
    </row>
    <row r="5" spans="2:23" s="13" customFormat="1" ht="21" customHeight="1">
      <c r="B5" s="354"/>
      <c r="C5" s="975"/>
      <c r="D5" s="978"/>
      <c r="E5" s="770"/>
      <c r="F5" s="770"/>
      <c r="G5" s="770"/>
      <c r="H5" s="348"/>
      <c r="I5" s="348"/>
      <c r="J5" s="348"/>
      <c r="K5" s="348"/>
      <c r="L5" s="348"/>
      <c r="M5" s="348"/>
      <c r="N5" s="348"/>
      <c r="O5" s="349"/>
      <c r="P5" s="351"/>
      <c r="Q5" s="352"/>
      <c r="R5" s="352"/>
      <c r="S5" s="353"/>
      <c r="T5" s="351"/>
      <c r="U5" s="352"/>
      <c r="V5" s="352"/>
      <c r="W5" s="353"/>
    </row>
    <row r="6" spans="1:23" s="26" customFormat="1" ht="12.75">
      <c r="A6" s="344" t="s">
        <v>323</v>
      </c>
      <c r="B6" s="571" t="s">
        <v>608</v>
      </c>
      <c r="C6" s="974"/>
      <c r="D6" s="940">
        <v>0.17</v>
      </c>
      <c r="E6" s="941">
        <f aca="true" t="shared" si="1" ref="E6:E12">D6</f>
        <v>0.17</v>
      </c>
      <c r="F6" s="941">
        <f aca="true" t="shared" si="2" ref="F6:O6">E6</f>
        <v>0.17</v>
      </c>
      <c r="G6" s="941">
        <f t="shared" si="2"/>
        <v>0.17</v>
      </c>
      <c r="H6" s="941">
        <f aca="true" t="shared" si="3" ref="H6:H12">G6</f>
        <v>0.17</v>
      </c>
      <c r="I6" s="941">
        <f t="shared" si="2"/>
        <v>0.17</v>
      </c>
      <c r="J6" s="941">
        <f t="shared" si="2"/>
        <v>0.17</v>
      </c>
      <c r="K6" s="941">
        <f t="shared" si="2"/>
        <v>0.17</v>
      </c>
      <c r="L6" s="941">
        <f t="shared" si="2"/>
        <v>0.17</v>
      </c>
      <c r="M6" s="941">
        <f t="shared" si="2"/>
        <v>0.17</v>
      </c>
      <c r="N6" s="941">
        <f t="shared" si="2"/>
        <v>0.17</v>
      </c>
      <c r="O6" s="942">
        <f t="shared" si="2"/>
        <v>0.17</v>
      </c>
      <c r="P6" s="574"/>
      <c r="Q6" s="575"/>
      <c r="R6" s="575"/>
      <c r="S6" s="576"/>
      <c r="T6" s="574"/>
      <c r="U6" s="575"/>
      <c r="V6" s="575"/>
      <c r="W6" s="576"/>
    </row>
    <row r="7" spans="1:23" s="26" customFormat="1" ht="12.75">
      <c r="A7" s="344" t="s">
        <v>324</v>
      </c>
      <c r="B7" s="571" t="s">
        <v>609</v>
      </c>
      <c r="C7" s="572"/>
      <c r="D7" s="723">
        <v>0.2</v>
      </c>
      <c r="E7" s="754">
        <f t="shared" si="1"/>
        <v>0.2</v>
      </c>
      <c r="F7" s="754">
        <f aca="true" t="shared" si="4" ref="F7:O7">E7</f>
        <v>0.2</v>
      </c>
      <c r="G7" s="754">
        <f t="shared" si="4"/>
        <v>0.2</v>
      </c>
      <c r="H7" s="754">
        <f t="shared" si="3"/>
        <v>0.2</v>
      </c>
      <c r="I7" s="754">
        <f t="shared" si="4"/>
        <v>0.2</v>
      </c>
      <c r="J7" s="754">
        <f t="shared" si="4"/>
        <v>0.2</v>
      </c>
      <c r="K7" s="754">
        <f t="shared" si="4"/>
        <v>0.2</v>
      </c>
      <c r="L7" s="754">
        <f t="shared" si="4"/>
        <v>0.2</v>
      </c>
      <c r="M7" s="754">
        <f t="shared" si="4"/>
        <v>0.2</v>
      </c>
      <c r="N7" s="754">
        <f t="shared" si="4"/>
        <v>0.2</v>
      </c>
      <c r="O7" s="586">
        <f t="shared" si="4"/>
        <v>0.2</v>
      </c>
      <c r="P7" s="573">
        <v>0.44</v>
      </c>
      <c r="Q7" s="573">
        <v>0.44</v>
      </c>
      <c r="R7" s="573">
        <v>0.44</v>
      </c>
      <c r="S7" s="573">
        <v>0.44</v>
      </c>
      <c r="T7" s="573">
        <v>0.44</v>
      </c>
      <c r="U7" s="573">
        <v>0.44</v>
      </c>
      <c r="V7" s="573">
        <v>0.44</v>
      </c>
      <c r="W7" s="573">
        <v>0.44</v>
      </c>
    </row>
    <row r="8" spans="1:23" s="26" customFormat="1" ht="12.75">
      <c r="A8" s="344" t="s">
        <v>325</v>
      </c>
      <c r="B8" s="571" t="s">
        <v>610</v>
      </c>
      <c r="C8" s="572"/>
      <c r="D8" s="723">
        <v>0.2</v>
      </c>
      <c r="E8" s="754">
        <f t="shared" si="1"/>
        <v>0.2</v>
      </c>
      <c r="F8" s="754">
        <f aca="true" t="shared" si="5" ref="F8:O8">E8</f>
        <v>0.2</v>
      </c>
      <c r="G8" s="754">
        <f t="shared" si="5"/>
        <v>0.2</v>
      </c>
      <c r="H8" s="754">
        <f t="shared" si="3"/>
        <v>0.2</v>
      </c>
      <c r="I8" s="754">
        <f t="shared" si="5"/>
        <v>0.2</v>
      </c>
      <c r="J8" s="754">
        <f t="shared" si="5"/>
        <v>0.2</v>
      </c>
      <c r="K8" s="754">
        <f t="shared" si="5"/>
        <v>0.2</v>
      </c>
      <c r="L8" s="754">
        <f t="shared" si="5"/>
        <v>0.2</v>
      </c>
      <c r="M8" s="754">
        <f t="shared" si="5"/>
        <v>0.2</v>
      </c>
      <c r="N8" s="754">
        <f t="shared" si="5"/>
        <v>0.2</v>
      </c>
      <c r="O8" s="586">
        <f t="shared" si="5"/>
        <v>0.2</v>
      </c>
      <c r="P8" s="573"/>
      <c r="Q8" s="573"/>
      <c r="R8" s="573"/>
      <c r="S8" s="573"/>
      <c r="T8" s="573"/>
      <c r="U8" s="573"/>
      <c r="V8" s="573"/>
      <c r="W8" s="573"/>
    </row>
    <row r="9" spans="1:23" s="26" customFormat="1" ht="12.75">
      <c r="A9" s="344" t="s">
        <v>326</v>
      </c>
      <c r="B9" s="571" t="s">
        <v>611</v>
      </c>
      <c r="C9" s="572"/>
      <c r="D9" s="723">
        <v>0.25</v>
      </c>
      <c r="E9" s="754">
        <f t="shared" si="1"/>
        <v>0.25</v>
      </c>
      <c r="F9" s="754">
        <f aca="true" t="shared" si="6" ref="F9:W9">E9</f>
        <v>0.25</v>
      </c>
      <c r="G9" s="754">
        <f t="shared" si="6"/>
        <v>0.25</v>
      </c>
      <c r="H9" s="754">
        <f t="shared" si="3"/>
        <v>0.25</v>
      </c>
      <c r="I9" s="754">
        <f t="shared" si="6"/>
        <v>0.25</v>
      </c>
      <c r="J9" s="754">
        <f t="shared" si="6"/>
        <v>0.25</v>
      </c>
      <c r="K9" s="754">
        <f t="shared" si="6"/>
        <v>0.25</v>
      </c>
      <c r="L9" s="754">
        <f t="shared" si="6"/>
        <v>0.25</v>
      </c>
      <c r="M9" s="754">
        <f t="shared" si="6"/>
        <v>0.25</v>
      </c>
      <c r="N9" s="754">
        <f t="shared" si="6"/>
        <v>0.25</v>
      </c>
      <c r="O9" s="586">
        <f t="shared" si="6"/>
        <v>0.25</v>
      </c>
      <c r="P9" s="585">
        <f t="shared" si="6"/>
        <v>0.25</v>
      </c>
      <c r="Q9" s="585">
        <f t="shared" si="6"/>
        <v>0.25</v>
      </c>
      <c r="R9" s="585">
        <f t="shared" si="6"/>
        <v>0.25</v>
      </c>
      <c r="S9" s="585">
        <f t="shared" si="6"/>
        <v>0.25</v>
      </c>
      <c r="T9" s="585">
        <f t="shared" si="6"/>
        <v>0.25</v>
      </c>
      <c r="U9" s="585">
        <f t="shared" si="6"/>
        <v>0.25</v>
      </c>
      <c r="V9" s="585">
        <f t="shared" si="6"/>
        <v>0.25</v>
      </c>
      <c r="W9" s="585">
        <f t="shared" si="6"/>
        <v>0.25</v>
      </c>
    </row>
    <row r="10" spans="1:23" s="26" customFormat="1" ht="12.75">
      <c r="A10" s="344" t="s">
        <v>327</v>
      </c>
      <c r="B10" s="571" t="s">
        <v>612</v>
      </c>
      <c r="C10" s="572"/>
      <c r="D10" s="723">
        <v>1</v>
      </c>
      <c r="E10" s="754">
        <f t="shared" si="1"/>
        <v>1</v>
      </c>
      <c r="F10" s="754">
        <f aca="true" t="shared" si="7" ref="F10:O12">E10</f>
        <v>1</v>
      </c>
      <c r="G10" s="754">
        <f t="shared" si="7"/>
        <v>1</v>
      </c>
      <c r="H10" s="754">
        <f t="shared" si="3"/>
        <v>1</v>
      </c>
      <c r="I10" s="754">
        <f t="shared" si="7"/>
        <v>1</v>
      </c>
      <c r="J10" s="754">
        <f t="shared" si="7"/>
        <v>1</v>
      </c>
      <c r="K10" s="754">
        <f t="shared" si="7"/>
        <v>1</v>
      </c>
      <c r="L10" s="754">
        <f t="shared" si="7"/>
        <v>1</v>
      </c>
      <c r="M10" s="754">
        <f t="shared" si="7"/>
        <v>1</v>
      </c>
      <c r="N10" s="754">
        <f t="shared" si="7"/>
        <v>1</v>
      </c>
      <c r="O10" s="586">
        <f t="shared" si="7"/>
        <v>1</v>
      </c>
      <c r="P10" s="573">
        <v>0.01</v>
      </c>
      <c r="Q10" s="573">
        <v>0.01</v>
      </c>
      <c r="R10" s="573">
        <v>0.01</v>
      </c>
      <c r="S10" s="573">
        <v>0.01</v>
      </c>
      <c r="T10" s="573">
        <v>0.01</v>
      </c>
      <c r="U10" s="573">
        <v>0.01</v>
      </c>
      <c r="V10" s="573">
        <v>0.01</v>
      </c>
      <c r="W10" s="573">
        <v>0.01</v>
      </c>
    </row>
    <row r="11" spans="1:23" s="26" customFormat="1" ht="12.75">
      <c r="A11" s="344" t="s">
        <v>328</v>
      </c>
      <c r="B11" s="571" t="s">
        <v>745</v>
      </c>
      <c r="C11" s="572"/>
      <c r="D11" s="723">
        <v>0.17</v>
      </c>
      <c r="E11" s="949">
        <f t="shared" si="1"/>
        <v>0.17</v>
      </c>
      <c r="F11" s="949">
        <f t="shared" si="7"/>
        <v>0.17</v>
      </c>
      <c r="G11" s="949">
        <f t="shared" si="7"/>
        <v>0.17</v>
      </c>
      <c r="H11" s="949">
        <f t="shared" si="3"/>
        <v>0.17</v>
      </c>
      <c r="I11" s="949">
        <f t="shared" si="7"/>
        <v>0.17</v>
      </c>
      <c r="J11" s="949">
        <f t="shared" si="7"/>
        <v>0.17</v>
      </c>
      <c r="K11" s="949">
        <f t="shared" si="7"/>
        <v>0.17</v>
      </c>
      <c r="L11" s="949">
        <f t="shared" si="7"/>
        <v>0.17</v>
      </c>
      <c r="M11" s="949">
        <f t="shared" si="7"/>
        <v>0.17</v>
      </c>
      <c r="N11" s="949">
        <f t="shared" si="7"/>
        <v>0.17</v>
      </c>
      <c r="O11" s="950">
        <f t="shared" si="7"/>
        <v>0.17</v>
      </c>
      <c r="P11" s="573">
        <v>0.01</v>
      </c>
      <c r="Q11" s="573">
        <v>0.01</v>
      </c>
      <c r="R11" s="573">
        <v>0.01</v>
      </c>
      <c r="S11" s="573">
        <v>0.01</v>
      </c>
      <c r="T11" s="573">
        <v>0.01</v>
      </c>
      <c r="U11" s="573">
        <v>0.01</v>
      </c>
      <c r="V11" s="573">
        <v>0.01</v>
      </c>
      <c r="W11" s="573">
        <v>0.01</v>
      </c>
    </row>
    <row r="12" spans="1:23" s="26" customFormat="1" ht="12.75">
      <c r="A12" s="344" t="s">
        <v>280</v>
      </c>
      <c r="B12" s="571" t="s">
        <v>799</v>
      </c>
      <c r="C12" s="572"/>
      <c r="D12" s="723">
        <v>1</v>
      </c>
      <c r="E12" s="949">
        <f t="shared" si="1"/>
        <v>1</v>
      </c>
      <c r="F12" s="949">
        <f t="shared" si="7"/>
        <v>1</v>
      </c>
      <c r="G12" s="949">
        <f t="shared" si="7"/>
        <v>1</v>
      </c>
      <c r="H12" s="949">
        <f t="shared" si="3"/>
        <v>1</v>
      </c>
      <c r="I12" s="949">
        <f t="shared" si="7"/>
        <v>1</v>
      </c>
      <c r="J12" s="949">
        <f t="shared" si="7"/>
        <v>1</v>
      </c>
      <c r="K12" s="949">
        <f t="shared" si="7"/>
        <v>1</v>
      </c>
      <c r="L12" s="949">
        <f t="shared" si="7"/>
        <v>1</v>
      </c>
      <c r="M12" s="949">
        <f t="shared" si="7"/>
        <v>1</v>
      </c>
      <c r="N12" s="949">
        <f t="shared" si="7"/>
        <v>1</v>
      </c>
      <c r="O12" s="949">
        <f t="shared" si="7"/>
        <v>1</v>
      </c>
      <c r="P12" s="573">
        <v>0.3</v>
      </c>
      <c r="Q12" s="573">
        <v>0.3</v>
      </c>
      <c r="R12" s="573">
        <v>0.3</v>
      </c>
      <c r="S12" s="573">
        <v>0.3</v>
      </c>
      <c r="T12" s="573">
        <v>0.3</v>
      </c>
      <c r="U12" s="573">
        <v>0.3</v>
      </c>
      <c r="V12" s="573">
        <v>0.3</v>
      </c>
      <c r="W12" s="573">
        <v>0.3</v>
      </c>
    </row>
    <row r="13" spans="2:23" s="577" customFormat="1" ht="12.75">
      <c r="B13" s="578" t="s">
        <v>595</v>
      </c>
      <c r="C13" s="970">
        <f>D13</f>
        <v>0</v>
      </c>
      <c r="D13" s="583">
        <v>0</v>
      </c>
      <c r="E13" s="938"/>
      <c r="F13" s="938"/>
      <c r="G13" s="938"/>
      <c r="H13" s="938"/>
      <c r="I13" s="938"/>
      <c r="J13" s="938"/>
      <c r="K13" s="938"/>
      <c r="L13" s="938"/>
      <c r="M13" s="938"/>
      <c r="N13" s="938"/>
      <c r="O13" s="939"/>
      <c r="P13" s="579"/>
      <c r="Q13" s="580"/>
      <c r="R13" s="580"/>
      <c r="S13" s="581"/>
      <c r="T13" s="579"/>
      <c r="U13" s="580"/>
      <c r="V13" s="580"/>
      <c r="W13" s="581"/>
    </row>
    <row r="14" spans="2:23" s="13" customFormat="1" ht="12.75">
      <c r="B14" s="1073" t="s">
        <v>137</v>
      </c>
      <c r="C14" s="971">
        <v>28.95</v>
      </c>
      <c r="D14" s="582">
        <v>30</v>
      </c>
      <c r="E14" s="755">
        <f aca="true" t="shared" si="8" ref="E14:O15">D14</f>
        <v>30</v>
      </c>
      <c r="F14" s="755">
        <f t="shared" si="8"/>
        <v>30</v>
      </c>
      <c r="G14" s="755">
        <f t="shared" si="8"/>
        <v>30</v>
      </c>
      <c r="H14" s="755">
        <f>G14</f>
        <v>30</v>
      </c>
      <c r="I14" s="755">
        <f t="shared" si="8"/>
        <v>30</v>
      </c>
      <c r="J14" s="755">
        <f t="shared" si="8"/>
        <v>30</v>
      </c>
      <c r="K14" s="755">
        <f t="shared" si="8"/>
        <v>30</v>
      </c>
      <c r="L14" s="755">
        <f t="shared" si="8"/>
        <v>30</v>
      </c>
      <c r="M14" s="755">
        <f t="shared" si="8"/>
        <v>30</v>
      </c>
      <c r="N14" s="755">
        <f t="shared" si="8"/>
        <v>30</v>
      </c>
      <c r="O14" s="584">
        <f t="shared" si="8"/>
        <v>30</v>
      </c>
      <c r="P14" s="32"/>
      <c r="Q14" s="30"/>
      <c r="R14" s="30"/>
      <c r="S14" s="31"/>
      <c r="T14" s="32"/>
      <c r="U14" s="30"/>
      <c r="V14" s="30"/>
      <c r="W14" s="31"/>
    </row>
    <row r="15" spans="2:23" s="13" customFormat="1" ht="12.75">
      <c r="B15" s="1073" t="s">
        <v>260</v>
      </c>
      <c r="C15" s="971">
        <v>100</v>
      </c>
      <c r="D15" s="582">
        <f>C15</f>
        <v>100</v>
      </c>
      <c r="E15" s="755">
        <f t="shared" si="8"/>
        <v>100</v>
      </c>
      <c r="F15" s="755">
        <f t="shared" si="8"/>
        <v>100</v>
      </c>
      <c r="G15" s="755">
        <f t="shared" si="8"/>
        <v>100</v>
      </c>
      <c r="H15" s="755">
        <f>G15</f>
        <v>100</v>
      </c>
      <c r="I15" s="755">
        <f t="shared" si="8"/>
        <v>100</v>
      </c>
      <c r="J15" s="755">
        <f t="shared" si="8"/>
        <v>100</v>
      </c>
      <c r="K15" s="755">
        <f t="shared" si="8"/>
        <v>100</v>
      </c>
      <c r="L15" s="755">
        <f t="shared" si="8"/>
        <v>100</v>
      </c>
      <c r="M15" s="755">
        <f t="shared" si="8"/>
        <v>100</v>
      </c>
      <c r="N15" s="755">
        <f t="shared" si="8"/>
        <v>100</v>
      </c>
      <c r="O15" s="584">
        <f t="shared" si="8"/>
        <v>100</v>
      </c>
      <c r="P15" s="158"/>
      <c r="Q15" s="156"/>
      <c r="R15" s="156"/>
      <c r="S15" s="157"/>
      <c r="T15" s="158"/>
      <c r="U15" s="156"/>
      <c r="V15" s="156"/>
      <c r="W15" s="157"/>
    </row>
    <row r="16" spans="2:23" s="577" customFormat="1" ht="25.5">
      <c r="B16" s="578" t="s">
        <v>619</v>
      </c>
      <c r="C16" s="100"/>
      <c r="D16" s="583">
        <v>0.1</v>
      </c>
      <c r="E16" s="754">
        <v>0.1</v>
      </c>
      <c r="F16" s="754">
        <v>0.1</v>
      </c>
      <c r="G16" s="754">
        <v>0.1</v>
      </c>
      <c r="H16" s="754">
        <f>G16</f>
        <v>0.1</v>
      </c>
      <c r="I16" s="754">
        <f aca="true" t="shared" si="9" ref="I16:O16">H16</f>
        <v>0.1</v>
      </c>
      <c r="J16" s="754">
        <f t="shared" si="9"/>
        <v>0.1</v>
      </c>
      <c r="K16" s="754">
        <f t="shared" si="9"/>
        <v>0.1</v>
      </c>
      <c r="L16" s="754">
        <f t="shared" si="9"/>
        <v>0.1</v>
      </c>
      <c r="M16" s="754">
        <f t="shared" si="9"/>
        <v>0.1</v>
      </c>
      <c r="N16" s="754">
        <f t="shared" si="9"/>
        <v>0.1</v>
      </c>
      <c r="O16" s="586">
        <f t="shared" si="9"/>
        <v>0.1</v>
      </c>
      <c r="P16" s="579"/>
      <c r="Q16" s="580"/>
      <c r="R16" s="580"/>
      <c r="S16" s="581"/>
      <c r="T16" s="579"/>
      <c r="U16" s="580"/>
      <c r="V16" s="580"/>
      <c r="W16" s="581"/>
    </row>
    <row r="17" spans="2:23" s="577" customFormat="1" ht="12.75">
      <c r="B17" s="578" t="s">
        <v>787</v>
      </c>
      <c r="C17" s="100"/>
      <c r="D17" s="583">
        <v>0.16</v>
      </c>
      <c r="E17" s="754">
        <f>D17</f>
        <v>0.16</v>
      </c>
      <c r="F17" s="754">
        <f aca="true" t="shared" si="10" ref="F17:O17">E17</f>
        <v>0.16</v>
      </c>
      <c r="G17" s="754">
        <f t="shared" si="10"/>
        <v>0.16</v>
      </c>
      <c r="H17" s="754">
        <f t="shared" si="10"/>
        <v>0.16</v>
      </c>
      <c r="I17" s="754">
        <f t="shared" si="10"/>
        <v>0.16</v>
      </c>
      <c r="J17" s="754">
        <f t="shared" si="10"/>
        <v>0.16</v>
      </c>
      <c r="K17" s="754">
        <f t="shared" si="10"/>
        <v>0.16</v>
      </c>
      <c r="L17" s="754">
        <f t="shared" si="10"/>
        <v>0.16</v>
      </c>
      <c r="M17" s="754">
        <f t="shared" si="10"/>
        <v>0.16</v>
      </c>
      <c r="N17" s="754">
        <f t="shared" si="10"/>
        <v>0.16</v>
      </c>
      <c r="O17" s="586">
        <f t="shared" si="10"/>
        <v>0.16</v>
      </c>
      <c r="P17" s="579"/>
      <c r="Q17" s="580"/>
      <c r="R17" s="580"/>
      <c r="S17" s="581"/>
      <c r="T17" s="579"/>
      <c r="U17" s="580"/>
      <c r="V17" s="580"/>
      <c r="W17" s="581"/>
    </row>
    <row r="18" spans="2:23" s="577" customFormat="1" ht="12.75">
      <c r="B18" s="578" t="s">
        <v>101</v>
      </c>
      <c r="C18" s="968">
        <f>D18</f>
        <v>0.1</v>
      </c>
      <c r="D18" s="583">
        <v>0.1</v>
      </c>
      <c r="E18" s="938"/>
      <c r="F18" s="938"/>
      <c r="G18" s="938"/>
      <c r="H18" s="938"/>
      <c r="I18" s="938"/>
      <c r="J18" s="938"/>
      <c r="K18" s="938"/>
      <c r="L18" s="938"/>
      <c r="M18" s="938"/>
      <c r="N18" s="938"/>
      <c r="O18" s="939"/>
      <c r="P18" s="579"/>
      <c r="Q18" s="580"/>
      <c r="R18" s="580"/>
      <c r="S18" s="581"/>
      <c r="T18" s="579"/>
      <c r="U18" s="580"/>
      <c r="V18" s="580"/>
      <c r="W18" s="581"/>
    </row>
    <row r="19" spans="2:23" s="577" customFormat="1" ht="12.75">
      <c r="B19" s="578" t="s">
        <v>592</v>
      </c>
      <c r="C19" s="968">
        <f>D19</f>
        <v>0.004</v>
      </c>
      <c r="D19" s="969">
        <v>0.004</v>
      </c>
      <c r="E19" s="938"/>
      <c r="F19" s="938"/>
      <c r="G19" s="938"/>
      <c r="H19" s="938"/>
      <c r="I19" s="938"/>
      <c r="J19" s="938"/>
      <c r="K19" s="938"/>
      <c r="L19" s="938"/>
      <c r="M19" s="938"/>
      <c r="N19" s="938"/>
      <c r="O19" s="939"/>
      <c r="P19" s="579"/>
      <c r="Q19" s="580"/>
      <c r="R19" s="580"/>
      <c r="S19" s="581"/>
      <c r="T19" s="579"/>
      <c r="U19" s="580"/>
      <c r="V19" s="580"/>
      <c r="W19" s="581"/>
    </row>
    <row r="20" spans="2:23" s="577" customFormat="1" ht="12.75">
      <c r="B20" s="578" t="s">
        <v>780</v>
      </c>
      <c r="C20" s="1078"/>
      <c r="D20" s="583"/>
      <c r="E20" s="754"/>
      <c r="F20" s="754"/>
      <c r="G20" s="754"/>
      <c r="H20" s="754"/>
      <c r="I20" s="754">
        <f aca="true" t="shared" si="11" ref="I20:O20">H20</f>
        <v>0</v>
      </c>
      <c r="J20" s="754">
        <f t="shared" si="11"/>
        <v>0</v>
      </c>
      <c r="K20" s="754">
        <f t="shared" si="11"/>
        <v>0</v>
      </c>
      <c r="L20" s="754">
        <f t="shared" si="11"/>
        <v>0</v>
      </c>
      <c r="M20" s="754">
        <f t="shared" si="11"/>
        <v>0</v>
      </c>
      <c r="N20" s="754">
        <f t="shared" si="11"/>
        <v>0</v>
      </c>
      <c r="O20" s="586">
        <f t="shared" si="11"/>
        <v>0</v>
      </c>
      <c r="P20" s="579"/>
      <c r="Q20" s="580"/>
      <c r="R20" s="580"/>
      <c r="S20" s="581"/>
      <c r="T20" s="579"/>
      <c r="U20" s="580"/>
      <c r="V20" s="580"/>
      <c r="W20" s="581"/>
    </row>
    <row r="21" spans="2:23" s="577" customFormat="1" ht="12.75">
      <c r="B21" s="578" t="s">
        <v>781</v>
      </c>
      <c r="C21" s="100"/>
      <c r="D21" s="583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586"/>
      <c r="P21" s="579"/>
      <c r="Q21" s="580"/>
      <c r="R21" s="580"/>
      <c r="S21" s="581"/>
      <c r="T21" s="579"/>
      <c r="U21" s="580"/>
      <c r="V21" s="580"/>
      <c r="W21" s="581"/>
    </row>
    <row r="22" spans="2:23" s="577" customFormat="1" ht="12.75">
      <c r="B22" s="578" t="s">
        <v>596</v>
      </c>
      <c r="C22" s="100"/>
      <c r="D22" s="583">
        <v>0.10696</v>
      </c>
      <c r="E22" s="754">
        <v>0.09</v>
      </c>
      <c r="F22" s="754">
        <v>0.08249</v>
      </c>
      <c r="G22" s="754">
        <v>0.06604</v>
      </c>
      <c r="H22" s="754">
        <v>0</v>
      </c>
      <c r="I22" s="754">
        <v>0.11</v>
      </c>
      <c r="J22" s="754">
        <v>0.11</v>
      </c>
      <c r="K22" s="754"/>
      <c r="L22" s="754"/>
      <c r="M22" s="754"/>
      <c r="N22" s="754"/>
      <c r="O22" s="586"/>
      <c r="P22" s="579"/>
      <c r="Q22" s="580"/>
      <c r="R22" s="580"/>
      <c r="S22" s="581"/>
      <c r="T22" s="579"/>
      <c r="U22" s="580"/>
      <c r="V22" s="580"/>
      <c r="W22" s="581"/>
    </row>
    <row r="23" spans="2:23" s="577" customFormat="1" ht="12.75">
      <c r="B23" s="578" t="s">
        <v>597</v>
      </c>
      <c r="C23" s="100"/>
      <c r="D23" s="583"/>
      <c r="E23" s="754"/>
      <c r="F23" s="754"/>
      <c r="G23" s="754"/>
      <c r="H23" s="754">
        <v>0.07771</v>
      </c>
      <c r="I23" s="754">
        <v>0.04125</v>
      </c>
      <c r="J23" s="754">
        <v>0.11</v>
      </c>
      <c r="K23" s="754"/>
      <c r="L23" s="754"/>
      <c r="M23" s="754"/>
      <c r="N23" s="754"/>
      <c r="O23" s="586"/>
      <c r="P23" s="579"/>
      <c r="Q23" s="580"/>
      <c r="R23" s="580"/>
      <c r="S23" s="581"/>
      <c r="T23" s="579"/>
      <c r="U23" s="580"/>
      <c r="V23" s="580"/>
      <c r="W23" s="581"/>
    </row>
    <row r="24" spans="2:23" s="577" customFormat="1" ht="12.75">
      <c r="B24" s="578" t="s">
        <v>598</v>
      </c>
      <c r="C24" s="100"/>
      <c r="D24" s="583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586"/>
      <c r="P24" s="579"/>
      <c r="Q24" s="580"/>
      <c r="R24" s="580"/>
      <c r="S24" s="581"/>
      <c r="T24" s="579"/>
      <c r="U24" s="580"/>
      <c r="V24" s="580"/>
      <c r="W24" s="581"/>
    </row>
    <row r="25" spans="2:23" s="577" customFormat="1" ht="12.75">
      <c r="B25" s="578" t="s">
        <v>599</v>
      </c>
      <c r="C25" s="100">
        <v>13</v>
      </c>
      <c r="D25" s="583">
        <v>0</v>
      </c>
      <c r="E25" s="754">
        <v>0</v>
      </c>
      <c r="F25" s="754">
        <f>E25</f>
        <v>0</v>
      </c>
      <c r="G25" s="754">
        <f>F25</f>
        <v>0</v>
      </c>
      <c r="H25" s="754">
        <f>G25</f>
        <v>0</v>
      </c>
      <c r="I25" s="754"/>
      <c r="J25" s="754"/>
      <c r="K25" s="754"/>
      <c r="L25" s="754"/>
      <c r="M25" s="754"/>
      <c r="N25" s="754"/>
      <c r="O25" s="586"/>
      <c r="P25" s="579"/>
      <c r="Q25" s="580"/>
      <c r="R25" s="580"/>
      <c r="S25" s="581"/>
      <c r="T25" s="579"/>
      <c r="U25" s="580"/>
      <c r="V25" s="580"/>
      <c r="W25" s="581"/>
    </row>
    <row r="26" spans="2:23" s="577" customFormat="1" ht="12.75">
      <c r="B26" s="578" t="s">
        <v>600</v>
      </c>
      <c r="C26" s="100"/>
      <c r="D26" s="583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586"/>
      <c r="P26" s="579"/>
      <c r="Q26" s="580"/>
      <c r="R26" s="580"/>
      <c r="S26" s="581"/>
      <c r="T26" s="579"/>
      <c r="U26" s="580"/>
      <c r="V26" s="580"/>
      <c r="W26" s="581"/>
    </row>
    <row r="27" spans="2:23" s="577" customFormat="1" ht="12.75">
      <c r="B27" s="578" t="s">
        <v>601</v>
      </c>
      <c r="C27" s="100"/>
      <c r="D27" s="583"/>
      <c r="E27" s="754"/>
      <c r="F27" s="754"/>
      <c r="G27" s="754"/>
      <c r="H27" s="754"/>
      <c r="I27" s="754"/>
      <c r="J27" s="754"/>
      <c r="K27" s="754"/>
      <c r="L27" s="754"/>
      <c r="M27" s="754"/>
      <c r="N27" s="754"/>
      <c r="O27" s="586"/>
      <c r="P27" s="579"/>
      <c r="Q27" s="580"/>
      <c r="R27" s="580"/>
      <c r="S27" s="581"/>
      <c r="T27" s="579"/>
      <c r="U27" s="580"/>
      <c r="V27" s="580"/>
      <c r="W27" s="581"/>
    </row>
    <row r="28" spans="2:23" s="577" customFormat="1" ht="12.75">
      <c r="B28" s="578" t="s">
        <v>613</v>
      </c>
      <c r="C28" s="100"/>
      <c r="D28" s="583">
        <v>0.08</v>
      </c>
      <c r="E28" s="754">
        <f>D28</f>
        <v>0.08</v>
      </c>
      <c r="F28" s="754">
        <f aca="true" t="shared" si="12" ref="F28:O28">E28</f>
        <v>0.08</v>
      </c>
      <c r="G28" s="754">
        <f t="shared" si="12"/>
        <v>0.08</v>
      </c>
      <c r="H28" s="754">
        <f>G28</f>
        <v>0.08</v>
      </c>
      <c r="I28" s="754">
        <f t="shared" si="12"/>
        <v>0.08</v>
      </c>
      <c r="J28" s="754">
        <f t="shared" si="12"/>
        <v>0.08</v>
      </c>
      <c r="K28" s="754">
        <f t="shared" si="12"/>
        <v>0.08</v>
      </c>
      <c r="L28" s="754">
        <f t="shared" si="12"/>
        <v>0.08</v>
      </c>
      <c r="M28" s="754">
        <f t="shared" si="12"/>
        <v>0.08</v>
      </c>
      <c r="N28" s="754">
        <f t="shared" si="12"/>
        <v>0.08</v>
      </c>
      <c r="O28" s="586">
        <f t="shared" si="12"/>
        <v>0.08</v>
      </c>
      <c r="P28" s="579"/>
      <c r="Q28" s="580"/>
      <c r="R28" s="580"/>
      <c r="S28" s="581"/>
      <c r="T28" s="579"/>
      <c r="U28" s="580"/>
      <c r="V28" s="580"/>
      <c r="W28" s="581"/>
    </row>
    <row r="29" spans="2:23" s="577" customFormat="1" ht="12.75">
      <c r="B29" s="578" t="s">
        <v>614</v>
      </c>
      <c r="C29" s="968">
        <f>D29</f>
        <v>0.08</v>
      </c>
      <c r="D29" s="583">
        <v>0.08</v>
      </c>
      <c r="E29" s="754">
        <v>0.08</v>
      </c>
      <c r="F29" s="754">
        <v>0.08</v>
      </c>
      <c r="G29" s="754">
        <v>0.1</v>
      </c>
      <c r="H29" s="754">
        <v>0.08</v>
      </c>
      <c r="I29" s="754">
        <v>0.08</v>
      </c>
      <c r="J29" s="754">
        <v>0.08</v>
      </c>
      <c r="K29" s="754">
        <v>0.08</v>
      </c>
      <c r="L29" s="754">
        <v>0.08</v>
      </c>
      <c r="M29" s="754">
        <v>0.08</v>
      </c>
      <c r="N29" s="754">
        <v>0.08</v>
      </c>
      <c r="O29" s="586">
        <v>0.08</v>
      </c>
      <c r="P29" s="579"/>
      <c r="Q29" s="580"/>
      <c r="R29" s="580"/>
      <c r="S29" s="581"/>
      <c r="T29" s="579"/>
      <c r="U29" s="580"/>
      <c r="V29" s="580"/>
      <c r="W29" s="581"/>
    </row>
    <row r="30" spans="2:23" s="13" customFormat="1" ht="12.75">
      <c r="B30" s="578" t="s">
        <v>709</v>
      </c>
      <c r="C30" s="193">
        <f>'Стоимость компании'!C45</f>
        <v>0.3387433333333334</v>
      </c>
      <c r="D30" s="1075"/>
      <c r="E30" s="1076"/>
      <c r="F30" s="1076"/>
      <c r="G30" s="1076"/>
      <c r="H30" s="1076"/>
      <c r="I30" s="1076"/>
      <c r="J30" s="1076"/>
      <c r="K30" s="1076"/>
      <c r="L30" s="1076"/>
      <c r="M30" s="1076"/>
      <c r="N30" s="1076"/>
      <c r="O30" s="1077"/>
      <c r="P30" s="25"/>
      <c r="Q30" s="23"/>
      <c r="R30" s="23"/>
      <c r="S30" s="24"/>
      <c r="T30" s="25"/>
      <c r="U30" s="23"/>
      <c r="V30" s="23"/>
      <c r="W30" s="24"/>
    </row>
    <row r="31" spans="2:23" s="13" customFormat="1" ht="12.75">
      <c r="B31" s="593"/>
      <c r="C31" s="572"/>
      <c r="D31" s="943"/>
      <c r="E31" s="944"/>
      <c r="F31" s="944"/>
      <c r="G31" s="944"/>
      <c r="H31" s="944"/>
      <c r="I31" s="944"/>
      <c r="J31" s="944"/>
      <c r="K31" s="944"/>
      <c r="L31" s="944"/>
      <c r="M31" s="944"/>
      <c r="N31" s="944"/>
      <c r="O31" s="945"/>
      <c r="P31" s="297"/>
      <c r="Q31" s="295"/>
      <c r="R31" s="295"/>
      <c r="S31" s="296"/>
      <c r="T31" s="297"/>
      <c r="U31" s="295"/>
      <c r="V31" s="295"/>
      <c r="W31" s="296"/>
    </row>
    <row r="32" spans="2:23" s="18" customFormat="1" ht="12.75">
      <c r="B32" s="19" t="s">
        <v>131</v>
      </c>
      <c r="C32" s="972"/>
      <c r="D32" s="946"/>
      <c r="E32" s="947"/>
      <c r="F32" s="947"/>
      <c r="G32" s="947"/>
      <c r="H32" s="947"/>
      <c r="I32" s="947"/>
      <c r="J32" s="947"/>
      <c r="K32" s="947"/>
      <c r="L32" s="947"/>
      <c r="M32" s="947"/>
      <c r="N32" s="947"/>
      <c r="O32" s="948"/>
      <c r="P32" s="20"/>
      <c r="Q32" s="21"/>
      <c r="R32" s="21"/>
      <c r="S32" s="22"/>
      <c r="T32" s="20"/>
      <c r="U32" s="21"/>
      <c r="V32" s="21"/>
      <c r="W32" s="22"/>
    </row>
    <row r="33" spans="2:23" s="18" customFormat="1" ht="12.75">
      <c r="B33" s="578" t="s">
        <v>256</v>
      </c>
      <c r="C33" s="970">
        <f>D33</f>
        <v>0.13</v>
      </c>
      <c r="D33" s="723">
        <v>0.13</v>
      </c>
      <c r="E33" s="754">
        <f aca="true" t="shared" si="13" ref="E33:E38">D33</f>
        <v>0.13</v>
      </c>
      <c r="F33" s="754">
        <f aca="true" t="shared" si="14" ref="F33:O33">E33</f>
        <v>0.13</v>
      </c>
      <c r="G33" s="754">
        <f t="shared" si="14"/>
        <v>0.13</v>
      </c>
      <c r="H33" s="754">
        <f t="shared" si="14"/>
        <v>0.13</v>
      </c>
      <c r="I33" s="754">
        <f t="shared" si="14"/>
        <v>0.13</v>
      </c>
      <c r="J33" s="754">
        <f t="shared" si="14"/>
        <v>0.13</v>
      </c>
      <c r="K33" s="754">
        <f t="shared" si="14"/>
        <v>0.13</v>
      </c>
      <c r="L33" s="754">
        <f t="shared" si="14"/>
        <v>0.13</v>
      </c>
      <c r="M33" s="754">
        <f t="shared" si="14"/>
        <v>0.13</v>
      </c>
      <c r="N33" s="754">
        <f t="shared" si="14"/>
        <v>0.13</v>
      </c>
      <c r="O33" s="754">
        <f t="shared" si="14"/>
        <v>0.13</v>
      </c>
      <c r="P33" s="154"/>
      <c r="Q33" s="153"/>
      <c r="R33" s="153"/>
      <c r="S33" s="155"/>
      <c r="T33" s="154"/>
      <c r="U33" s="153"/>
      <c r="V33" s="153"/>
      <c r="W33" s="155"/>
    </row>
    <row r="34" spans="2:23" s="13" customFormat="1" ht="12.75">
      <c r="B34" s="578" t="s">
        <v>257</v>
      </c>
      <c r="C34" s="195">
        <v>0.02</v>
      </c>
      <c r="D34" s="723">
        <f>C34</f>
        <v>0.02</v>
      </c>
      <c r="E34" s="949">
        <f t="shared" si="13"/>
        <v>0.02</v>
      </c>
      <c r="F34" s="949">
        <f aca="true" t="shared" si="15" ref="F34:O34">E34</f>
        <v>0.02</v>
      </c>
      <c r="G34" s="949">
        <f t="shared" si="15"/>
        <v>0.02</v>
      </c>
      <c r="H34" s="949">
        <f t="shared" si="15"/>
        <v>0.02</v>
      </c>
      <c r="I34" s="949">
        <f t="shared" si="15"/>
        <v>0.02</v>
      </c>
      <c r="J34" s="949">
        <f t="shared" si="15"/>
        <v>0.02</v>
      </c>
      <c r="K34" s="949">
        <f t="shared" si="15"/>
        <v>0.02</v>
      </c>
      <c r="L34" s="949">
        <f t="shared" si="15"/>
        <v>0.02</v>
      </c>
      <c r="M34" s="949">
        <f t="shared" si="15"/>
        <v>0.02</v>
      </c>
      <c r="N34" s="949">
        <f t="shared" si="15"/>
        <v>0.02</v>
      </c>
      <c r="O34" s="950">
        <f t="shared" si="15"/>
        <v>0.02</v>
      </c>
      <c r="P34" s="29"/>
      <c r="Q34" s="27"/>
      <c r="R34" s="27"/>
      <c r="S34" s="28"/>
      <c r="T34" s="29"/>
      <c r="U34" s="27"/>
      <c r="V34" s="27"/>
      <c r="W34" s="28"/>
    </row>
    <row r="35" spans="2:23" s="13" customFormat="1" ht="12.75">
      <c r="B35" s="578" t="s">
        <v>258</v>
      </c>
      <c r="C35" s="195">
        <v>0.05</v>
      </c>
      <c r="D35" s="723">
        <f>C35</f>
        <v>0.05</v>
      </c>
      <c r="E35" s="754">
        <f t="shared" si="13"/>
        <v>0.05</v>
      </c>
      <c r="F35" s="754">
        <f aca="true" t="shared" si="16" ref="F35:W35">E35</f>
        <v>0.05</v>
      </c>
      <c r="G35" s="754">
        <f t="shared" si="16"/>
        <v>0.05</v>
      </c>
      <c r="H35" s="754">
        <f t="shared" si="16"/>
        <v>0.05</v>
      </c>
      <c r="I35" s="754">
        <f t="shared" si="16"/>
        <v>0.05</v>
      </c>
      <c r="J35" s="754">
        <f t="shared" si="16"/>
        <v>0.05</v>
      </c>
      <c r="K35" s="754">
        <f t="shared" si="16"/>
        <v>0.05</v>
      </c>
      <c r="L35" s="754">
        <f t="shared" si="16"/>
        <v>0.05</v>
      </c>
      <c r="M35" s="754">
        <f t="shared" si="16"/>
        <v>0.05</v>
      </c>
      <c r="N35" s="754">
        <f t="shared" si="16"/>
        <v>0.05</v>
      </c>
      <c r="O35" s="586">
        <f t="shared" si="16"/>
        <v>0.05</v>
      </c>
      <c r="P35" s="585">
        <f t="shared" si="16"/>
        <v>0.05</v>
      </c>
      <c r="Q35" s="754">
        <f t="shared" si="16"/>
        <v>0.05</v>
      </c>
      <c r="R35" s="754">
        <f t="shared" si="16"/>
        <v>0.05</v>
      </c>
      <c r="S35" s="754">
        <f t="shared" si="16"/>
        <v>0.05</v>
      </c>
      <c r="T35" s="754">
        <f t="shared" si="16"/>
        <v>0.05</v>
      </c>
      <c r="U35" s="754">
        <f t="shared" si="16"/>
        <v>0.05</v>
      </c>
      <c r="V35" s="754">
        <f t="shared" si="16"/>
        <v>0.05</v>
      </c>
      <c r="W35" s="754">
        <f t="shared" si="16"/>
        <v>0.05</v>
      </c>
    </row>
    <row r="36" spans="2:23" s="13" customFormat="1" ht="12.75">
      <c r="B36" s="578" t="s">
        <v>259</v>
      </c>
      <c r="C36" s="723">
        <v>0.06</v>
      </c>
      <c r="D36" s="723">
        <f>C36</f>
        <v>0.06</v>
      </c>
      <c r="E36" s="949">
        <f t="shared" si="13"/>
        <v>0.06</v>
      </c>
      <c r="F36" s="949">
        <f aca="true" t="shared" si="17" ref="F36:O36">E36</f>
        <v>0.06</v>
      </c>
      <c r="G36" s="949">
        <f t="shared" si="17"/>
        <v>0.06</v>
      </c>
      <c r="H36" s="949">
        <f t="shared" si="17"/>
        <v>0.06</v>
      </c>
      <c r="I36" s="949">
        <f t="shared" si="17"/>
        <v>0.06</v>
      </c>
      <c r="J36" s="949">
        <f t="shared" si="17"/>
        <v>0.06</v>
      </c>
      <c r="K36" s="949">
        <f t="shared" si="17"/>
        <v>0.06</v>
      </c>
      <c r="L36" s="949">
        <f t="shared" si="17"/>
        <v>0.06</v>
      </c>
      <c r="M36" s="949">
        <f t="shared" si="17"/>
        <v>0.06</v>
      </c>
      <c r="N36" s="949">
        <f t="shared" si="17"/>
        <v>0.06</v>
      </c>
      <c r="O36" s="950">
        <f t="shared" si="17"/>
        <v>0.06</v>
      </c>
      <c r="P36" s="29"/>
      <c r="Q36" s="27"/>
      <c r="R36" s="27"/>
      <c r="S36" s="28"/>
      <c r="T36" s="29"/>
      <c r="U36" s="27"/>
      <c r="V36" s="27"/>
      <c r="W36" s="28"/>
    </row>
    <row r="37" spans="2:23" s="13" customFormat="1" ht="12.75">
      <c r="B37" s="578" t="s">
        <v>132</v>
      </c>
      <c r="C37" s="973">
        <v>24</v>
      </c>
      <c r="D37" s="723">
        <v>0.24</v>
      </c>
      <c r="E37" s="754">
        <f t="shared" si="13"/>
        <v>0.24</v>
      </c>
      <c r="F37" s="754">
        <f aca="true" t="shared" si="18" ref="F37:O37">E37</f>
        <v>0.24</v>
      </c>
      <c r="G37" s="754">
        <f t="shared" si="18"/>
        <v>0.24</v>
      </c>
      <c r="H37" s="754">
        <f t="shared" si="18"/>
        <v>0.24</v>
      </c>
      <c r="I37" s="754">
        <f t="shared" si="18"/>
        <v>0.24</v>
      </c>
      <c r="J37" s="754">
        <f t="shared" si="18"/>
        <v>0.24</v>
      </c>
      <c r="K37" s="754">
        <f t="shared" si="18"/>
        <v>0.24</v>
      </c>
      <c r="L37" s="754">
        <f t="shared" si="18"/>
        <v>0.24</v>
      </c>
      <c r="M37" s="754">
        <f t="shared" si="18"/>
        <v>0.24</v>
      </c>
      <c r="N37" s="754">
        <f t="shared" si="18"/>
        <v>0.24</v>
      </c>
      <c r="O37" s="586">
        <f t="shared" si="18"/>
        <v>0.24</v>
      </c>
      <c r="P37" s="29"/>
      <c r="Q37" s="27"/>
      <c r="R37" s="27"/>
      <c r="S37" s="28"/>
      <c r="T37" s="29"/>
      <c r="U37" s="27"/>
      <c r="V37" s="27"/>
      <c r="W37" s="28"/>
    </row>
    <row r="38" spans="2:23" s="13" customFormat="1" ht="12.75">
      <c r="B38" s="578" t="s">
        <v>133</v>
      </c>
      <c r="C38" s="970">
        <f>D38</f>
        <v>0.18</v>
      </c>
      <c r="D38" s="723">
        <v>0.18</v>
      </c>
      <c r="E38" s="949">
        <f t="shared" si="13"/>
        <v>0.18</v>
      </c>
      <c r="F38" s="949">
        <f aca="true" t="shared" si="19" ref="F38:N38">E38</f>
        <v>0.18</v>
      </c>
      <c r="G38" s="949">
        <f t="shared" si="19"/>
        <v>0.18</v>
      </c>
      <c r="H38" s="949">
        <f>G38</f>
        <v>0.18</v>
      </c>
      <c r="I38" s="949">
        <f t="shared" si="19"/>
        <v>0.18</v>
      </c>
      <c r="J38" s="949">
        <f t="shared" si="19"/>
        <v>0.18</v>
      </c>
      <c r="K38" s="949">
        <f t="shared" si="19"/>
        <v>0.18</v>
      </c>
      <c r="L38" s="949">
        <f t="shared" si="19"/>
        <v>0.18</v>
      </c>
      <c r="M38" s="949">
        <f t="shared" si="19"/>
        <v>0.18</v>
      </c>
      <c r="N38" s="949">
        <f t="shared" si="19"/>
        <v>0.18</v>
      </c>
      <c r="O38" s="950">
        <f>N38</f>
        <v>0.18</v>
      </c>
      <c r="P38" s="29">
        <v>18</v>
      </c>
      <c r="Q38" s="27">
        <v>18</v>
      </c>
      <c r="R38" s="27">
        <v>18</v>
      </c>
      <c r="S38" s="28">
        <v>18</v>
      </c>
      <c r="T38" s="29">
        <v>18</v>
      </c>
      <c r="U38" s="27">
        <v>18</v>
      </c>
      <c r="V38" s="27">
        <v>18</v>
      </c>
      <c r="W38" s="28">
        <v>18</v>
      </c>
    </row>
    <row r="39" spans="2:23" s="18" customFormat="1" ht="12.75">
      <c r="B39" s="19" t="s">
        <v>248</v>
      </c>
      <c r="C39" s="972"/>
      <c r="D39" s="951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3"/>
      <c r="P39" s="20"/>
      <c r="Q39" s="21"/>
      <c r="R39" s="21"/>
      <c r="S39" s="22"/>
      <c r="T39" s="20"/>
      <c r="U39" s="21"/>
      <c r="V39" s="21"/>
      <c r="W39" s="22"/>
    </row>
    <row r="40" spans="2:23" s="43" customFormat="1" ht="12.75">
      <c r="B40" s="148" t="s">
        <v>245</v>
      </c>
      <c r="C40" s="14"/>
      <c r="D40" s="149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1"/>
      <c r="P40" s="152"/>
      <c r="Q40" s="152"/>
      <c r="R40" s="152"/>
      <c r="S40" s="152"/>
      <c r="T40" s="152"/>
      <c r="U40" s="152"/>
      <c r="V40" s="152"/>
      <c r="W40" s="152"/>
    </row>
    <row r="41" spans="2:23" s="13" customFormat="1" ht="12.75">
      <c r="B41" s="99" t="s">
        <v>718</v>
      </c>
      <c r="C41" s="195">
        <v>0.2</v>
      </c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35"/>
      <c r="Q41" s="35"/>
      <c r="R41" s="35"/>
      <c r="S41" s="35"/>
      <c r="T41" s="35"/>
      <c r="U41" s="35"/>
      <c r="V41" s="35"/>
      <c r="W41" s="35"/>
    </row>
    <row r="42" spans="2:23" s="13" customFormat="1" ht="12.75">
      <c r="B42" s="99" t="s">
        <v>719</v>
      </c>
      <c r="C42" s="982">
        <v>0.079</v>
      </c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35"/>
      <c r="Q42" s="35"/>
      <c r="R42" s="35"/>
      <c r="S42" s="35"/>
      <c r="T42" s="35"/>
      <c r="U42" s="35"/>
      <c r="V42" s="35"/>
      <c r="W42" s="35"/>
    </row>
    <row r="43" spans="2:23" s="13" customFormat="1" ht="12.75">
      <c r="B43" s="99" t="s">
        <v>252</v>
      </c>
      <c r="C43" s="195">
        <v>0.02</v>
      </c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35"/>
      <c r="Q43" s="35"/>
      <c r="R43" s="35"/>
      <c r="S43" s="35"/>
      <c r="T43" s="35"/>
      <c r="U43" s="35"/>
      <c r="V43" s="35"/>
      <c r="W43" s="35"/>
    </row>
    <row r="44" spans="2:23" s="43" customFormat="1" ht="12.75">
      <c r="B44" s="148" t="s">
        <v>247</v>
      </c>
      <c r="C44" s="983"/>
      <c r="D44" s="149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1"/>
      <c r="P44" s="152"/>
      <c r="Q44" s="152"/>
      <c r="R44" s="152"/>
      <c r="S44" s="152"/>
      <c r="T44" s="152"/>
      <c r="U44" s="152"/>
      <c r="V44" s="152"/>
      <c r="W44" s="152"/>
    </row>
    <row r="45" spans="2:23" s="13" customFormat="1" ht="12.75">
      <c r="B45" s="99" t="s">
        <v>718</v>
      </c>
      <c r="C45" s="982">
        <v>0.032</v>
      </c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35"/>
      <c r="Q45" s="35"/>
      <c r="R45" s="35"/>
      <c r="S45" s="35"/>
      <c r="T45" s="35"/>
      <c r="U45" s="35"/>
      <c r="V45" s="35"/>
      <c r="W45" s="35"/>
    </row>
    <row r="46" spans="2:23" s="13" customFormat="1" ht="12.75">
      <c r="B46" s="99" t="s">
        <v>719</v>
      </c>
      <c r="C46" s="982">
        <v>0.011</v>
      </c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  <c r="P46" s="35"/>
      <c r="Q46" s="35"/>
      <c r="R46" s="35"/>
      <c r="S46" s="35"/>
      <c r="T46" s="35"/>
      <c r="U46" s="35"/>
      <c r="V46" s="35"/>
      <c r="W46" s="35"/>
    </row>
    <row r="47" spans="2:23" s="13" customFormat="1" ht="12.75">
      <c r="B47" s="99" t="s">
        <v>252</v>
      </c>
      <c r="C47" s="195">
        <v>0</v>
      </c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  <c r="P47" s="35"/>
      <c r="Q47" s="35"/>
      <c r="R47" s="35"/>
      <c r="S47" s="35"/>
      <c r="T47" s="35"/>
      <c r="U47" s="35"/>
      <c r="V47" s="35"/>
      <c r="W47" s="35"/>
    </row>
    <row r="48" spans="2:23" s="43" customFormat="1" ht="12.75">
      <c r="B48" s="148" t="s">
        <v>253</v>
      </c>
      <c r="C48" s="983"/>
      <c r="D48" s="149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1"/>
      <c r="P48" s="152"/>
      <c r="Q48" s="152"/>
      <c r="R48" s="152"/>
      <c r="S48" s="152"/>
      <c r="T48" s="152"/>
      <c r="U48" s="152"/>
      <c r="V48" s="152"/>
      <c r="W48" s="152"/>
    </row>
    <row r="49" spans="2:23" s="13" customFormat="1" ht="12.75">
      <c r="B49" s="99" t="s">
        <v>718</v>
      </c>
      <c r="C49" s="982">
        <v>0.008</v>
      </c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35"/>
      <c r="Q49" s="35"/>
      <c r="R49" s="35"/>
      <c r="S49" s="35"/>
      <c r="T49" s="35"/>
      <c r="U49" s="35"/>
      <c r="V49" s="35"/>
      <c r="W49" s="35"/>
    </row>
    <row r="50" spans="2:23" s="13" customFormat="1" ht="12.75">
      <c r="B50" s="99" t="s">
        <v>719</v>
      </c>
      <c r="C50" s="982">
        <v>0.005</v>
      </c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  <c r="P50" s="35"/>
      <c r="Q50" s="35"/>
      <c r="R50" s="35"/>
      <c r="S50" s="35"/>
      <c r="T50" s="35"/>
      <c r="U50" s="35"/>
      <c r="V50" s="35"/>
      <c r="W50" s="35"/>
    </row>
    <row r="51" spans="2:23" s="13" customFormat="1" ht="12.75">
      <c r="B51" s="99" t="s">
        <v>252</v>
      </c>
      <c r="C51" s="195">
        <v>0</v>
      </c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  <c r="P51" s="35"/>
      <c r="Q51" s="35"/>
      <c r="R51" s="35"/>
      <c r="S51" s="35"/>
      <c r="T51" s="35"/>
      <c r="U51" s="35"/>
      <c r="V51" s="35"/>
      <c r="W51" s="35"/>
    </row>
    <row r="52" spans="2:23" s="43" customFormat="1" ht="12.75">
      <c r="B52" s="148" t="s">
        <v>254</v>
      </c>
      <c r="C52" s="983"/>
      <c r="D52" s="149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1"/>
      <c r="P52" s="152"/>
      <c r="Q52" s="152"/>
      <c r="R52" s="152"/>
      <c r="S52" s="152"/>
      <c r="T52" s="152"/>
      <c r="U52" s="152"/>
      <c r="V52" s="152"/>
      <c r="W52" s="152"/>
    </row>
    <row r="53" spans="2:23" s="13" customFormat="1" ht="12.75">
      <c r="B53" s="99" t="s">
        <v>718</v>
      </c>
      <c r="C53" s="195">
        <v>0.02</v>
      </c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  <c r="P53" s="35"/>
      <c r="Q53" s="35"/>
      <c r="R53" s="35"/>
      <c r="S53" s="35"/>
      <c r="T53" s="35"/>
      <c r="U53" s="35"/>
      <c r="V53" s="35"/>
      <c r="W53" s="35"/>
    </row>
    <row r="54" spans="2:23" s="13" customFormat="1" ht="12.75">
      <c r="B54" s="99" t="s">
        <v>719</v>
      </c>
      <c r="C54" s="982">
        <v>0.005</v>
      </c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  <c r="P54" s="35"/>
      <c r="Q54" s="35"/>
      <c r="R54" s="35"/>
      <c r="S54" s="35"/>
      <c r="T54" s="35"/>
      <c r="U54" s="35"/>
      <c r="V54" s="35"/>
      <c r="W54" s="35"/>
    </row>
    <row r="55" spans="2:23" s="13" customFormat="1" ht="12.75">
      <c r="B55" s="99" t="s">
        <v>252</v>
      </c>
      <c r="C55" s="984">
        <v>0</v>
      </c>
      <c r="D55" s="347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9"/>
      <c r="P55" s="35"/>
      <c r="Q55" s="35"/>
      <c r="R55" s="35"/>
      <c r="S55" s="35"/>
      <c r="T55" s="35"/>
      <c r="U55" s="35"/>
      <c r="V55" s="35"/>
      <c r="W55" s="35"/>
    </row>
    <row r="56" spans="2:23" s="13" customFormat="1" ht="12.75">
      <c r="B56" s="35"/>
      <c r="C56" s="35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5"/>
      <c r="Q56" s="35"/>
      <c r="R56" s="35"/>
      <c r="S56" s="35"/>
      <c r="T56" s="35"/>
      <c r="U56" s="35"/>
      <c r="V56" s="35"/>
      <c r="W56" s="35"/>
    </row>
    <row r="57" spans="2:23" s="13" customFormat="1" ht="12.75">
      <c r="B57" s="35"/>
      <c r="C57" s="35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5"/>
      <c r="Q57" s="35"/>
      <c r="R57" s="35"/>
      <c r="S57" s="35"/>
      <c r="T57" s="35"/>
      <c r="U57" s="35"/>
      <c r="V57" s="35"/>
      <c r="W57" s="35"/>
    </row>
    <row r="58" spans="2:23" s="13" customFormat="1" ht="12.75">
      <c r="B58" s="33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  <row r="59" s="36" customFormat="1" ht="12.75"/>
  </sheetData>
  <sheetProtection/>
  <mergeCells count="13">
    <mergeCell ref="T3:W3"/>
    <mergeCell ref="P3:S3"/>
    <mergeCell ref="D3:G3"/>
    <mergeCell ref="H3:H4"/>
    <mergeCell ref="I3:I4"/>
    <mergeCell ref="J3:J4"/>
    <mergeCell ref="K3:K4"/>
    <mergeCell ref="L3:L4"/>
    <mergeCell ref="M3:M4"/>
    <mergeCell ref="N3:N4"/>
    <mergeCell ref="O3:O4"/>
    <mergeCell ref="B3:B4"/>
    <mergeCell ref="C3:C4"/>
  </mergeCells>
  <hyperlinks>
    <hyperlink ref="B1" location="Содержание!A1" display="Вернуться к содержанию"/>
  </hyperlinks>
  <printOptions horizontalCentered="1"/>
  <pageMargins left="0.1968503937007874" right="0.1968503937007874" top="0.984251968503937" bottom="0.36" header="0.81" footer="0.16"/>
  <pageSetup horizontalDpi="600" verticalDpi="600" orientation="landscape" paperSize="9" r:id="rId3"/>
  <headerFooter alignWithMargins="0">
    <oddHeader>&amp;L&amp;8&amp;F</oddHeader>
    <oddFooter>&amp;L&amp;8&amp;A&amp;C&amp;8&amp;P из &amp;N&amp;R&amp;8&amp;D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5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 outlineLevelRow="1"/>
  <cols>
    <col min="1" max="2" width="9.125" style="2" customWidth="1"/>
    <col min="3" max="3" width="40.75390625" style="2" customWidth="1"/>
    <col min="4" max="4" width="11.625" style="2" bestFit="1" customWidth="1"/>
    <col min="5" max="5" width="11.00390625" style="2" bestFit="1" customWidth="1"/>
    <col min="6" max="6" width="10.00390625" style="2" customWidth="1"/>
    <col min="7" max="8" width="11.00390625" style="2" bestFit="1" customWidth="1"/>
    <col min="9" max="10" width="11.375" style="2" bestFit="1" customWidth="1"/>
    <col min="11" max="12" width="11.00390625" style="2" bestFit="1" customWidth="1"/>
    <col min="13" max="15" width="10.00390625" style="2" customWidth="1"/>
    <col min="16" max="16384" width="9.125" style="2" customWidth="1"/>
  </cols>
  <sheetData>
    <row r="1" spans="2:3" ht="12.75">
      <c r="B1" s="6" t="s">
        <v>129</v>
      </c>
      <c r="C1" s="8"/>
    </row>
    <row r="3" spans="2:15" s="8" customFormat="1" ht="12.75">
      <c r="B3" s="439"/>
      <c r="C3" s="446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</row>
    <row r="4" spans="2:19" ht="30" customHeight="1">
      <c r="B4" s="1111" t="s">
        <v>654</v>
      </c>
      <c r="C4" s="1111"/>
      <c r="D4" s="1111"/>
      <c r="E4" s="1111"/>
      <c r="F4" s="1111"/>
      <c r="G4" s="1111"/>
      <c r="H4" s="1111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3:15" ht="12.75" customHeight="1"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</row>
    <row r="6" spans="3:16" s="102" customFormat="1" ht="13.5">
      <c r="C6" s="97" t="s">
        <v>218</v>
      </c>
      <c r="D6" s="97"/>
      <c r="E6" s="97"/>
      <c r="G6" s="97"/>
      <c r="H6" s="97"/>
      <c r="I6" s="97" t="s">
        <v>800</v>
      </c>
      <c r="P6" s="2"/>
    </row>
    <row r="7" spans="3:9" s="102" customFormat="1" ht="13.5">
      <c r="C7" s="97" t="s">
        <v>219</v>
      </c>
      <c r="D7" s="97"/>
      <c r="E7" s="97"/>
      <c r="G7" s="97"/>
      <c r="H7" s="97"/>
      <c r="I7" s="97"/>
    </row>
    <row r="8" spans="3:9" s="102" customFormat="1" ht="13.5">
      <c r="C8" s="97" t="s">
        <v>220</v>
      </c>
      <c r="D8" s="97"/>
      <c r="E8" s="97"/>
      <c r="G8" s="97"/>
      <c r="H8" s="97"/>
      <c r="I8" s="97"/>
    </row>
    <row r="9" spans="1:15" ht="12.75" customHeight="1">
      <c r="A9" s="1135" t="s">
        <v>117</v>
      </c>
      <c r="B9" s="1135" t="s">
        <v>264</v>
      </c>
      <c r="C9" s="1134" t="s">
        <v>186</v>
      </c>
      <c r="D9" s="1129">
        <f>Параметры!D3</f>
        <v>2006</v>
      </c>
      <c r="E9" s="1130"/>
      <c r="F9" s="1130"/>
      <c r="G9" s="1131"/>
      <c r="H9" s="1133">
        <f>D9+1</f>
        <v>2007</v>
      </c>
      <c r="I9" s="1121">
        <f>H9+1</f>
        <v>2008</v>
      </c>
      <c r="J9" s="1121">
        <f aca="true" t="shared" si="0" ref="J9:O9">I9+1</f>
        <v>2009</v>
      </c>
      <c r="K9" s="1121">
        <f t="shared" si="0"/>
        <v>2010</v>
      </c>
      <c r="L9" s="1121">
        <f t="shared" si="0"/>
        <v>2011</v>
      </c>
      <c r="M9" s="1121">
        <f t="shared" si="0"/>
        <v>2012</v>
      </c>
      <c r="N9" s="1121">
        <f t="shared" si="0"/>
        <v>2013</v>
      </c>
      <c r="O9" s="1121">
        <f t="shared" si="0"/>
        <v>2014</v>
      </c>
    </row>
    <row r="10" spans="1:16" s="12" customFormat="1" ht="12.75">
      <c r="A10" s="1135"/>
      <c r="B10" s="1135"/>
      <c r="C10" s="1134"/>
      <c r="D10" s="763" t="s">
        <v>725</v>
      </c>
      <c r="E10" s="763" t="s">
        <v>726</v>
      </c>
      <c r="F10" s="763" t="s">
        <v>727</v>
      </c>
      <c r="G10" s="763" t="s">
        <v>728</v>
      </c>
      <c r="H10" s="1133"/>
      <c r="I10" s="1122"/>
      <c r="J10" s="1122"/>
      <c r="K10" s="1122"/>
      <c r="L10" s="1122"/>
      <c r="M10" s="1122"/>
      <c r="N10" s="1122"/>
      <c r="O10" s="1122"/>
      <c r="P10" s="102"/>
    </row>
    <row r="11" spans="1:16" s="93" customFormat="1" ht="12.75">
      <c r="A11" s="355">
        <v>0</v>
      </c>
      <c r="B11" s="11">
        <v>1</v>
      </c>
      <c r="C11" s="11">
        <f aca="true" t="shared" si="1" ref="C11:O11">B11+1</f>
        <v>2</v>
      </c>
      <c r="D11" s="1093">
        <f t="shared" si="1"/>
        <v>3</v>
      </c>
      <c r="E11" s="1093">
        <f t="shared" si="1"/>
        <v>4</v>
      </c>
      <c r="F11" s="1093">
        <f t="shared" si="1"/>
        <v>5</v>
      </c>
      <c r="G11" s="1093">
        <f t="shared" si="1"/>
        <v>6</v>
      </c>
      <c r="H11" s="11">
        <f t="shared" si="1"/>
        <v>7</v>
      </c>
      <c r="I11" s="11">
        <f t="shared" si="1"/>
        <v>8</v>
      </c>
      <c r="J11" s="11">
        <f t="shared" si="1"/>
        <v>9</v>
      </c>
      <c r="K11" s="11">
        <f t="shared" si="1"/>
        <v>10</v>
      </c>
      <c r="L11" s="11">
        <f t="shared" si="1"/>
        <v>11</v>
      </c>
      <c r="M11" s="11">
        <f t="shared" si="1"/>
        <v>12</v>
      </c>
      <c r="N11" s="11">
        <f t="shared" si="1"/>
        <v>13</v>
      </c>
      <c r="O11" s="11">
        <f t="shared" si="1"/>
        <v>14</v>
      </c>
      <c r="P11" s="102"/>
    </row>
    <row r="12" spans="1:16" s="1" customFormat="1" ht="12.75">
      <c r="A12" s="420"/>
      <c r="B12" s="421" t="s">
        <v>323</v>
      </c>
      <c r="C12" s="719" t="str">
        <f>VLOOKUP(B12,Справочники!$B:$F,3,FALSE)</f>
        <v>Специализированные комплексы</v>
      </c>
      <c r="D12" s="423">
        <f aca="true" t="shared" si="2" ref="D12:O12">SUM(D13:D16)</f>
        <v>559000</v>
      </c>
      <c r="E12" s="424">
        <f t="shared" si="2"/>
        <v>746000</v>
      </c>
      <c r="F12" s="424">
        <f t="shared" si="2"/>
        <v>746000</v>
      </c>
      <c r="G12" s="424">
        <f t="shared" si="2"/>
        <v>746000</v>
      </c>
      <c r="H12" s="424">
        <f>SUM(H13:H16)</f>
        <v>5000000</v>
      </c>
      <c r="I12" s="424">
        <f>SUM(I13:I16)</f>
        <v>8000000</v>
      </c>
      <c r="J12" s="424">
        <f>SUM(J13:J16)</f>
        <v>15000000</v>
      </c>
      <c r="K12" s="424">
        <f t="shared" si="2"/>
        <v>0</v>
      </c>
      <c r="L12" s="424">
        <f t="shared" si="2"/>
        <v>0</v>
      </c>
      <c r="M12" s="424">
        <f t="shared" si="2"/>
        <v>0</v>
      </c>
      <c r="N12" s="424">
        <f t="shared" si="2"/>
        <v>0</v>
      </c>
      <c r="O12" s="425">
        <f t="shared" si="2"/>
        <v>0</v>
      </c>
      <c r="P12" s="45"/>
    </row>
    <row r="13" spans="1:16" ht="12.75" outlineLevel="1">
      <c r="A13" s="426" t="str">
        <f>CONCATENATE($B$12,B13)</f>
        <v>4001</v>
      </c>
      <c r="B13" s="427" t="s">
        <v>276</v>
      </c>
      <c r="C13" s="428" t="str">
        <f>VLOOKUP(B13,Справочники!$B:$F,3,FALSE)</f>
        <v>Европейская Россия</v>
      </c>
      <c r="D13" s="429">
        <v>559000</v>
      </c>
      <c r="E13" s="429">
        <v>746000</v>
      </c>
      <c r="F13" s="429">
        <f>E13</f>
        <v>746000</v>
      </c>
      <c r="G13" s="429">
        <f>F13</f>
        <v>746000</v>
      </c>
      <c r="H13" s="429">
        <v>5000000</v>
      </c>
      <c r="I13" s="429">
        <v>8000000</v>
      </c>
      <c r="J13" s="429">
        <v>15000000</v>
      </c>
      <c r="K13" s="429"/>
      <c r="L13" s="429"/>
      <c r="M13" s="429"/>
      <c r="N13" s="429"/>
      <c r="O13" s="673"/>
      <c r="P13" s="8"/>
    </row>
    <row r="14" spans="1:16" ht="12.75" outlineLevel="1">
      <c r="A14" s="426" t="str">
        <f>CONCATENATE($B$12,B14)</f>
        <v>4002</v>
      </c>
      <c r="B14" s="427" t="s">
        <v>277</v>
      </c>
      <c r="C14" s="428" t="str">
        <f>VLOOKUP(B14,Справочники!$B:$F,3,FALSE)</f>
        <v>Сибирь</v>
      </c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673"/>
      <c r="P14" s="8"/>
    </row>
    <row r="15" spans="1:16" ht="12.75" outlineLevel="1">
      <c r="A15" s="426" t="str">
        <f>CONCATENATE($B$12,B15)</f>
        <v>4003</v>
      </c>
      <c r="B15" s="427" t="s">
        <v>278</v>
      </c>
      <c r="C15" s="428" t="str">
        <f>VLOOKUP(B15,Справочники!$B:$F,3,FALSE)</f>
        <v>Дальний Восток</v>
      </c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673"/>
      <c r="P15" s="8"/>
    </row>
    <row r="16" spans="1:16" ht="12.75" outlineLevel="1">
      <c r="A16" s="426" t="str">
        <f>CONCATENATE($B$12,B16)</f>
        <v>4004</v>
      </c>
      <c r="B16" s="427" t="s">
        <v>279</v>
      </c>
      <c r="C16" s="428" t="str">
        <f>VLOOKUP(B16,Справочники!$B:$F,3,FALSE)</f>
        <v>Экспорт (СНГ и др.)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673"/>
      <c r="P16" s="8"/>
    </row>
    <row r="17" spans="1:16" s="1" customFormat="1" ht="12.75">
      <c r="A17" s="420"/>
      <c r="B17" s="421" t="s">
        <v>324</v>
      </c>
      <c r="C17" s="719" t="str">
        <f>VLOOKUP(B17,Справочники!$B:$F,3,FALSE)</f>
        <v>Серверные решения</v>
      </c>
      <c r="D17" s="423">
        <f aca="true" t="shared" si="3" ref="D17:O17">SUM(D18:D21)</f>
        <v>152500</v>
      </c>
      <c r="E17" s="424">
        <f t="shared" si="3"/>
        <v>203500</v>
      </c>
      <c r="F17" s="424">
        <f t="shared" si="3"/>
        <v>305000</v>
      </c>
      <c r="G17" s="424">
        <f t="shared" si="3"/>
        <v>356000</v>
      </c>
      <c r="H17" s="424">
        <f t="shared" si="3"/>
        <v>1200000</v>
      </c>
      <c r="I17" s="424">
        <f t="shared" si="3"/>
        <v>2980000</v>
      </c>
      <c r="J17" s="424">
        <f t="shared" si="3"/>
        <v>4000000</v>
      </c>
      <c r="K17" s="424">
        <f t="shared" si="3"/>
        <v>0</v>
      </c>
      <c r="L17" s="424">
        <f t="shared" si="3"/>
        <v>0</v>
      </c>
      <c r="M17" s="424">
        <f t="shared" si="3"/>
        <v>0</v>
      </c>
      <c r="N17" s="424">
        <f t="shared" si="3"/>
        <v>0</v>
      </c>
      <c r="O17" s="425">
        <f t="shared" si="3"/>
        <v>0</v>
      </c>
      <c r="P17" s="45"/>
    </row>
    <row r="18" spans="1:16" ht="12.75" outlineLevel="1">
      <c r="A18" s="426" t="str">
        <f>CONCATENATE($B$17,B18)</f>
        <v>4101</v>
      </c>
      <c r="B18" s="427" t="s">
        <v>276</v>
      </c>
      <c r="C18" s="428" t="str">
        <f>VLOOKUP(B18,Справочники!$B:$F,3,FALSE)</f>
        <v>Европейская Россия</v>
      </c>
      <c r="D18" s="429">
        <v>152500</v>
      </c>
      <c r="E18" s="429">
        <v>203500</v>
      </c>
      <c r="F18" s="429">
        <v>305000</v>
      </c>
      <c r="G18" s="429">
        <v>356000</v>
      </c>
      <c r="H18" s="429">
        <v>1200000</v>
      </c>
      <c r="I18" s="429">
        <v>2980000</v>
      </c>
      <c r="J18" s="429">
        <v>4000000</v>
      </c>
      <c r="K18" s="429"/>
      <c r="L18" s="429"/>
      <c r="M18" s="429"/>
      <c r="N18" s="429"/>
      <c r="O18" s="673"/>
      <c r="P18" s="8"/>
    </row>
    <row r="19" spans="1:16" ht="12.75" outlineLevel="1">
      <c r="A19" s="426" t="str">
        <f>CONCATENATE($B$17,B19)</f>
        <v>4102</v>
      </c>
      <c r="B19" s="427" t="s">
        <v>277</v>
      </c>
      <c r="C19" s="428" t="str">
        <f>VLOOKUP(B19,Справочники!$B:$F,3,FALSE)</f>
        <v>Сибирь</v>
      </c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673"/>
      <c r="P19" s="8"/>
    </row>
    <row r="20" spans="1:16" ht="12.75" outlineLevel="1">
      <c r="A20" s="426" t="str">
        <f>CONCATENATE($B$17,B20)</f>
        <v>4103</v>
      </c>
      <c r="B20" s="427" t="s">
        <v>278</v>
      </c>
      <c r="C20" s="428" t="str">
        <f>VLOOKUP(B20,Справочники!$B:$F,3,FALSE)</f>
        <v>Дальний Восток</v>
      </c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673"/>
      <c r="P20" s="8"/>
    </row>
    <row r="21" spans="1:16" ht="12.75" outlineLevel="1">
      <c r="A21" s="426" t="str">
        <f>CONCATENATE($B$17,B21)</f>
        <v>4104</v>
      </c>
      <c r="B21" s="427" t="s">
        <v>279</v>
      </c>
      <c r="C21" s="428" t="str">
        <f>VLOOKUP(B21,Справочники!$B:$F,3,FALSE)</f>
        <v>Экспорт (СНГ и др.)</v>
      </c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673"/>
      <c r="P21" s="8"/>
    </row>
    <row r="22" spans="1:16" s="1" customFormat="1" ht="12.75">
      <c r="A22" s="420"/>
      <c r="B22" s="421" t="s">
        <v>325</v>
      </c>
      <c r="C22" s="719" t="str">
        <f>VLOOKUP(B22,Справочники!$B:$F,3,FALSE)</f>
        <v>Системы хранения данных</v>
      </c>
      <c r="D22" s="423">
        <f aca="true" t="shared" si="4" ref="D22:O22">SUM(D23:D26)</f>
        <v>17000</v>
      </c>
      <c r="E22" s="424">
        <f t="shared" si="4"/>
        <v>25500</v>
      </c>
      <c r="F22" s="424">
        <f t="shared" si="4"/>
        <v>42500</v>
      </c>
      <c r="G22" s="424">
        <f t="shared" si="4"/>
        <v>42500</v>
      </c>
      <c r="H22" s="424">
        <f t="shared" si="4"/>
        <v>1200000</v>
      </c>
      <c r="I22" s="424">
        <f t="shared" si="4"/>
        <v>2900000</v>
      </c>
      <c r="J22" s="424">
        <f t="shared" si="4"/>
        <v>2500000</v>
      </c>
      <c r="K22" s="424">
        <f t="shared" si="4"/>
        <v>0</v>
      </c>
      <c r="L22" s="424">
        <f t="shared" si="4"/>
        <v>0</v>
      </c>
      <c r="M22" s="424">
        <f t="shared" si="4"/>
        <v>0</v>
      </c>
      <c r="N22" s="424">
        <f t="shared" si="4"/>
        <v>0</v>
      </c>
      <c r="O22" s="425">
        <f t="shared" si="4"/>
        <v>0</v>
      </c>
      <c r="P22" s="45"/>
    </row>
    <row r="23" spans="1:16" ht="12.75" outlineLevel="1">
      <c r="A23" s="426" t="str">
        <f>CONCATENATE($B$22,B23)</f>
        <v>4201</v>
      </c>
      <c r="B23" s="427" t="s">
        <v>276</v>
      </c>
      <c r="C23" s="428" t="str">
        <f>VLOOKUP(B23,Справочники!$B:$F,3,FALSE)</f>
        <v>Европейская Россия</v>
      </c>
      <c r="D23" s="429">
        <v>17000</v>
      </c>
      <c r="E23" s="429">
        <v>25500</v>
      </c>
      <c r="F23" s="429">
        <v>42500</v>
      </c>
      <c r="G23" s="429">
        <v>42500</v>
      </c>
      <c r="H23" s="429">
        <v>1200000</v>
      </c>
      <c r="I23" s="429">
        <v>2900000</v>
      </c>
      <c r="J23" s="429">
        <v>2500000</v>
      </c>
      <c r="K23" s="429"/>
      <c r="L23" s="429"/>
      <c r="M23" s="429"/>
      <c r="N23" s="429"/>
      <c r="O23" s="673"/>
      <c r="P23" s="8"/>
    </row>
    <row r="24" spans="1:16" ht="12.75" outlineLevel="1">
      <c r="A24" s="426" t="str">
        <f>CONCATENATE($B$22,B24)</f>
        <v>4202</v>
      </c>
      <c r="B24" s="427" t="s">
        <v>277</v>
      </c>
      <c r="C24" s="428" t="str">
        <f>VLOOKUP(B24,Справочники!$B:$F,3,FALSE)</f>
        <v>Сибирь</v>
      </c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673"/>
      <c r="P24" s="8"/>
    </row>
    <row r="25" spans="1:16" ht="12.75" outlineLevel="1">
      <c r="A25" s="426" t="str">
        <f>CONCATENATE($B$22,B25)</f>
        <v>4203</v>
      </c>
      <c r="B25" s="427" t="s">
        <v>278</v>
      </c>
      <c r="C25" s="428" t="str">
        <f>VLOOKUP(B25,Справочники!$B:$F,3,FALSE)</f>
        <v>Дальний Восток</v>
      </c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673"/>
      <c r="P25" s="8"/>
    </row>
    <row r="26" spans="1:16" ht="12.75" outlineLevel="1">
      <c r="A26" s="426" t="str">
        <f>CONCATENATE($B$22,B26)</f>
        <v>4204</v>
      </c>
      <c r="B26" s="427" t="s">
        <v>279</v>
      </c>
      <c r="C26" s="428" t="str">
        <f>VLOOKUP(B26,Справочники!$B:$F,3,FALSE)</f>
        <v>Экспорт (СНГ и др.)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673"/>
      <c r="P26" s="8"/>
    </row>
    <row r="27" spans="1:16" s="1" customFormat="1" ht="12.75">
      <c r="A27" s="420"/>
      <c r="B27" s="421" t="s">
        <v>326</v>
      </c>
      <c r="C27" s="719" t="str">
        <f>VLOOKUP(B27,Справочники!$B:$F,3,FALSE)</f>
        <v>Програмное обеспечение</v>
      </c>
      <c r="D27" s="423">
        <f aca="true" t="shared" si="5" ref="D27:O27">SUM(D28:D31)</f>
        <v>0</v>
      </c>
      <c r="E27" s="424">
        <f t="shared" si="5"/>
        <v>8500</v>
      </c>
      <c r="F27" s="424">
        <f t="shared" si="5"/>
        <v>8500</v>
      </c>
      <c r="G27" s="424">
        <f t="shared" si="5"/>
        <v>8500</v>
      </c>
      <c r="H27" s="424">
        <f t="shared" si="5"/>
        <v>100000</v>
      </c>
      <c r="I27" s="424">
        <f t="shared" si="5"/>
        <v>300000</v>
      </c>
      <c r="J27" s="424">
        <f t="shared" si="5"/>
        <v>300000</v>
      </c>
      <c r="K27" s="424">
        <f t="shared" si="5"/>
        <v>0</v>
      </c>
      <c r="L27" s="424">
        <f t="shared" si="5"/>
        <v>0</v>
      </c>
      <c r="M27" s="424">
        <f t="shared" si="5"/>
        <v>0</v>
      </c>
      <c r="N27" s="424">
        <f t="shared" si="5"/>
        <v>0</v>
      </c>
      <c r="O27" s="425">
        <f t="shared" si="5"/>
        <v>0</v>
      </c>
      <c r="P27" s="45"/>
    </row>
    <row r="28" spans="1:16" ht="12.75" outlineLevel="1">
      <c r="A28" s="426" t="str">
        <f>CONCATENATE($B$27,B28)</f>
        <v>4301</v>
      </c>
      <c r="B28" s="427" t="s">
        <v>276</v>
      </c>
      <c r="C28" s="428" t="str">
        <f>VLOOKUP(B28,Справочники!$B:$F,3,FALSE)</f>
        <v>Европейская Россия</v>
      </c>
      <c r="D28" s="429">
        <v>0</v>
      </c>
      <c r="E28" s="429">
        <v>8500</v>
      </c>
      <c r="F28" s="429">
        <v>8500</v>
      </c>
      <c r="G28" s="429">
        <v>8500</v>
      </c>
      <c r="H28" s="429">
        <v>100000</v>
      </c>
      <c r="I28" s="429">
        <v>300000</v>
      </c>
      <c r="J28" s="429">
        <v>300000</v>
      </c>
      <c r="K28" s="429"/>
      <c r="L28" s="429"/>
      <c r="M28" s="429"/>
      <c r="N28" s="429"/>
      <c r="O28" s="673"/>
      <c r="P28" s="8"/>
    </row>
    <row r="29" spans="1:16" ht="12.75" outlineLevel="1">
      <c r="A29" s="426" t="str">
        <f>CONCATENATE($B$27,B29)</f>
        <v>4302</v>
      </c>
      <c r="B29" s="427" t="s">
        <v>277</v>
      </c>
      <c r="C29" s="428" t="str">
        <f>VLOOKUP(B29,Справочники!$B:$F,3,FALSE)</f>
        <v>Сибирь</v>
      </c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673"/>
      <c r="P29" s="8"/>
    </row>
    <row r="30" spans="1:16" ht="12.75" outlineLevel="1">
      <c r="A30" s="426" t="str">
        <f>CONCATENATE($B$27,B30)</f>
        <v>4303</v>
      </c>
      <c r="B30" s="427" t="s">
        <v>278</v>
      </c>
      <c r="C30" s="428" t="str">
        <f>VLOOKUP(B30,Справочники!$B:$F,3,FALSE)</f>
        <v>Дальний Восток</v>
      </c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673"/>
      <c r="P30" s="8"/>
    </row>
    <row r="31" spans="1:16" ht="12.75" outlineLevel="1">
      <c r="A31" s="426" t="str">
        <f>CONCATENATE($B$27,B31)</f>
        <v>4304</v>
      </c>
      <c r="B31" s="427" t="s">
        <v>279</v>
      </c>
      <c r="C31" s="428" t="str">
        <f>VLOOKUP(B31,Справочники!$B:$F,3,FALSE)</f>
        <v>Экспорт (СНГ и др.)</v>
      </c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673"/>
      <c r="P31" s="8"/>
    </row>
    <row r="32" spans="1:16" s="1" customFormat="1" ht="12.75">
      <c r="A32" s="420"/>
      <c r="B32" s="421" t="s">
        <v>327</v>
      </c>
      <c r="C32" s="719" t="str">
        <f>VLOOKUP(B32,Справочники!$B:$F,3,FALSE)</f>
        <v>Услуги</v>
      </c>
      <c r="D32" s="423">
        <f aca="true" t="shared" si="6" ref="D32:O32">SUM(D33:D36)</f>
        <v>17000</v>
      </c>
      <c r="E32" s="424">
        <f t="shared" si="6"/>
        <v>17000</v>
      </c>
      <c r="F32" s="424">
        <f t="shared" si="6"/>
        <v>25500</v>
      </c>
      <c r="G32" s="424">
        <f t="shared" si="6"/>
        <v>34000</v>
      </c>
      <c r="H32" s="424">
        <f t="shared" si="6"/>
        <v>2300000</v>
      </c>
      <c r="I32" s="424">
        <f t="shared" si="6"/>
        <v>7400000</v>
      </c>
      <c r="J32" s="424">
        <f t="shared" si="6"/>
        <v>14000000</v>
      </c>
      <c r="K32" s="424">
        <f t="shared" si="6"/>
        <v>0</v>
      </c>
      <c r="L32" s="424">
        <f t="shared" si="6"/>
        <v>0</v>
      </c>
      <c r="M32" s="424">
        <f t="shared" si="6"/>
        <v>0</v>
      </c>
      <c r="N32" s="424">
        <f t="shared" si="6"/>
        <v>0</v>
      </c>
      <c r="O32" s="425">
        <f t="shared" si="6"/>
        <v>0</v>
      </c>
      <c r="P32" s="45"/>
    </row>
    <row r="33" spans="1:16" ht="12.75" outlineLevel="1">
      <c r="A33" s="426" t="str">
        <f>CONCATENATE($B$32,B33)</f>
        <v>4401</v>
      </c>
      <c r="B33" s="427" t="s">
        <v>276</v>
      </c>
      <c r="C33" s="428" t="str">
        <f>VLOOKUP(B33,Справочники!$B:$F,3,FALSE)</f>
        <v>Европейская Россия</v>
      </c>
      <c r="D33" s="429">
        <v>17000</v>
      </c>
      <c r="E33" s="429">
        <v>17000</v>
      </c>
      <c r="F33" s="429">
        <v>25500</v>
      </c>
      <c r="G33" s="429">
        <v>34000</v>
      </c>
      <c r="H33" s="429">
        <v>2300000</v>
      </c>
      <c r="I33" s="429">
        <v>7400000</v>
      </c>
      <c r="J33" s="429">
        <v>14000000</v>
      </c>
      <c r="K33" s="429"/>
      <c r="L33" s="429"/>
      <c r="M33" s="429"/>
      <c r="N33" s="429"/>
      <c r="O33" s="673"/>
      <c r="P33" s="8"/>
    </row>
    <row r="34" spans="1:16" ht="12.75" outlineLevel="1">
      <c r="A34" s="426" t="str">
        <f>CONCATENATE($B$32,B34)</f>
        <v>4402</v>
      </c>
      <c r="B34" s="427" t="s">
        <v>277</v>
      </c>
      <c r="C34" s="428" t="str">
        <f>VLOOKUP(B34,Справочники!$B:$F,3,FALSE)</f>
        <v>Сибирь</v>
      </c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673"/>
      <c r="P34" s="8"/>
    </row>
    <row r="35" spans="1:16" ht="12.75" outlineLevel="1">
      <c r="A35" s="426" t="str">
        <f>CONCATENATE($B$32,B35)</f>
        <v>4403</v>
      </c>
      <c r="B35" s="427" t="s">
        <v>278</v>
      </c>
      <c r="C35" s="428" t="str">
        <f>VLOOKUP(B35,Справочники!$B:$F,3,FALSE)</f>
        <v>Дальний Восток</v>
      </c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673"/>
      <c r="P35" s="8"/>
    </row>
    <row r="36" spans="1:16" ht="12.75" outlineLevel="1">
      <c r="A36" s="426" t="str">
        <f>CONCATENATE($B$32,B36)</f>
        <v>4404</v>
      </c>
      <c r="B36" s="427" t="s">
        <v>279</v>
      </c>
      <c r="C36" s="428" t="str">
        <f>VLOOKUP(B36,Справочники!$B:$F,3,FALSE)</f>
        <v>Экспорт (СНГ и др.)</v>
      </c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673"/>
      <c r="P36" s="8"/>
    </row>
    <row r="37" spans="1:16" s="1" customFormat="1" ht="12.75">
      <c r="A37" s="420"/>
      <c r="B37" s="421" t="s">
        <v>328</v>
      </c>
      <c r="C37" s="1092" t="str">
        <f>VLOOKUP(B37,Справочники!$B:$F,3,FALSE)</f>
        <v>Адаптер</v>
      </c>
      <c r="D37" s="423">
        <f aca="true" t="shared" si="7" ref="D37:O37">SUM(D38:D41)</f>
        <v>0</v>
      </c>
      <c r="E37" s="424">
        <f t="shared" si="7"/>
        <v>0</v>
      </c>
      <c r="F37" s="424">
        <f t="shared" si="7"/>
        <v>0</v>
      </c>
      <c r="G37" s="424">
        <f t="shared" si="7"/>
        <v>0</v>
      </c>
      <c r="H37" s="424">
        <f t="shared" si="7"/>
        <v>483050.8474576271</v>
      </c>
      <c r="I37" s="424">
        <f t="shared" si="7"/>
        <v>676271.186440678</v>
      </c>
      <c r="J37" s="424">
        <f t="shared" si="7"/>
        <v>966101.6949152543</v>
      </c>
      <c r="K37" s="424">
        <f t="shared" si="7"/>
        <v>805084.7457627119</v>
      </c>
      <c r="L37" s="424">
        <f t="shared" si="7"/>
        <v>515254.2372881356</v>
      </c>
      <c r="M37" s="424">
        <f t="shared" si="7"/>
        <v>0</v>
      </c>
      <c r="N37" s="424">
        <f t="shared" si="7"/>
        <v>0</v>
      </c>
      <c r="O37" s="425">
        <f t="shared" si="7"/>
        <v>0</v>
      </c>
      <c r="P37" s="45"/>
    </row>
    <row r="38" spans="1:16" ht="12.75" outlineLevel="1">
      <c r="A38" s="426" t="str">
        <f>CONCATENATE($B$37,B38)</f>
        <v>4501</v>
      </c>
      <c r="B38" s="427" t="s">
        <v>276</v>
      </c>
      <c r="C38" s="428" t="str">
        <f>VLOOKUP(B38,Справочники!$B:$F,3,FALSE)</f>
        <v>Европейская Россия</v>
      </c>
      <c r="D38" s="429">
        <v>0</v>
      </c>
      <c r="E38" s="429">
        <v>0</v>
      </c>
      <c r="F38" s="429">
        <v>0</v>
      </c>
      <c r="G38" s="429">
        <v>0</v>
      </c>
      <c r="H38" s="429">
        <f>(17100000/118*100)/Параметры!H14</f>
        <v>483050.8474576271</v>
      </c>
      <c r="I38" s="429">
        <f>(23940000/118*100)/Параметры!I14</f>
        <v>676271.186440678</v>
      </c>
      <c r="J38" s="429">
        <f>(34200000/118*100)/Параметры!J14</f>
        <v>966101.6949152543</v>
      </c>
      <c r="K38" s="429">
        <f>(28500000/118*100)/Параметры!K14</f>
        <v>805084.7457627119</v>
      </c>
      <c r="L38" s="429">
        <f>(18240000/118*100)/Параметры!L14</f>
        <v>515254.2372881356</v>
      </c>
      <c r="M38" s="429"/>
      <c r="N38" s="429"/>
      <c r="O38" s="673"/>
      <c r="P38" s="8"/>
    </row>
    <row r="39" spans="1:16" ht="12.75" outlineLevel="1">
      <c r="A39" s="426" t="str">
        <f>CONCATENATE($B$37,B39)</f>
        <v>4502</v>
      </c>
      <c r="B39" s="427" t="s">
        <v>277</v>
      </c>
      <c r="C39" s="428" t="str">
        <f>VLOOKUP(B39,Справочники!$B:$F,3,FALSE)</f>
        <v>Сибирь</v>
      </c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673"/>
      <c r="P39" s="8"/>
    </row>
    <row r="40" spans="1:16" ht="12.75" outlineLevel="1">
      <c r="A40" s="426" t="str">
        <f>CONCATENATE($B$37,B40)</f>
        <v>4503</v>
      </c>
      <c r="B40" s="427" t="s">
        <v>278</v>
      </c>
      <c r="C40" s="428" t="str">
        <f>VLOOKUP(B40,Справочники!$B:$F,3,FALSE)</f>
        <v>Дальний Восток</v>
      </c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673"/>
      <c r="P40" s="8"/>
    </row>
    <row r="41" spans="1:16" ht="12.75" outlineLevel="1">
      <c r="A41" s="426" t="str">
        <f>CONCATENATE($B$37,B41)</f>
        <v>4504</v>
      </c>
      <c r="B41" s="427" t="s">
        <v>279</v>
      </c>
      <c r="C41" s="428" t="str">
        <f>VLOOKUP(B41,Справочники!$B:$F,3,FALSE)</f>
        <v>Экспорт (СНГ и др.)</v>
      </c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673"/>
      <c r="P41" s="8"/>
    </row>
    <row r="42" spans="1:16" s="1" customFormat="1" ht="12.75">
      <c r="A42" s="420"/>
      <c r="B42" s="421" t="s">
        <v>280</v>
      </c>
      <c r="C42" s="1092" t="str">
        <f>VLOOKUP(B42,Справочники!$B:$F,3,FALSE)</f>
        <v>Продукт N - (Гос. Инвестиции)</v>
      </c>
      <c r="D42" s="423">
        <f aca="true" t="shared" si="8" ref="D42:O42">SUM(D43:D46)</f>
        <v>32600</v>
      </c>
      <c r="E42" s="424">
        <f t="shared" si="8"/>
        <v>76066.66666666667</v>
      </c>
      <c r="F42" s="424">
        <f t="shared" si="8"/>
        <v>8400</v>
      </c>
      <c r="G42" s="424">
        <f t="shared" si="8"/>
        <v>19600</v>
      </c>
      <c r="H42" s="424">
        <f t="shared" si="8"/>
        <v>0</v>
      </c>
      <c r="I42" s="424">
        <f t="shared" si="8"/>
        <v>0</v>
      </c>
      <c r="J42" s="424">
        <f t="shared" si="8"/>
        <v>0</v>
      </c>
      <c r="K42" s="424">
        <f t="shared" si="8"/>
        <v>0</v>
      </c>
      <c r="L42" s="424">
        <f t="shared" si="8"/>
        <v>0</v>
      </c>
      <c r="M42" s="424">
        <f t="shared" si="8"/>
        <v>0</v>
      </c>
      <c r="N42" s="424">
        <f t="shared" si="8"/>
        <v>0</v>
      </c>
      <c r="O42" s="425">
        <f t="shared" si="8"/>
        <v>0</v>
      </c>
      <c r="P42" s="45"/>
    </row>
    <row r="43" spans="1:16" ht="12.75" outlineLevel="1">
      <c r="A43" s="426" t="str">
        <f>CONCATENATE($B$42,B43)</f>
        <v>4601</v>
      </c>
      <c r="B43" s="427" t="s">
        <v>276</v>
      </c>
      <c r="C43" s="428" t="str">
        <f>VLOOKUP(B43,Справочники!$B:$F,3,FALSE)</f>
        <v>Европейская Россия</v>
      </c>
      <c r="D43" s="429">
        <f>3260000*30%/Параметры!D14</f>
        <v>32600</v>
      </c>
      <c r="E43" s="429">
        <f>3260000*70%/Параметры!E14</f>
        <v>76066.66666666667</v>
      </c>
      <c r="F43" s="429">
        <f>840000*30%/Параметры!F14</f>
        <v>8400</v>
      </c>
      <c r="G43" s="429">
        <f>840000*70%/Параметры!G14</f>
        <v>19600</v>
      </c>
      <c r="H43" s="429"/>
      <c r="I43" s="429"/>
      <c r="J43" s="429"/>
      <c r="K43" s="429"/>
      <c r="L43" s="429"/>
      <c r="M43" s="429"/>
      <c r="N43" s="429"/>
      <c r="O43" s="673"/>
      <c r="P43" s="8"/>
    </row>
    <row r="44" spans="1:16" ht="12.75" outlineLevel="1">
      <c r="A44" s="426" t="str">
        <f>CONCATENATE($B$42,B44)</f>
        <v>4602</v>
      </c>
      <c r="B44" s="427" t="s">
        <v>277</v>
      </c>
      <c r="C44" s="428" t="str">
        <f>VLOOKUP(B44,Справочники!$B:$F,3,FALSE)</f>
        <v>Сибирь</v>
      </c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673"/>
      <c r="P44" s="8"/>
    </row>
    <row r="45" spans="1:16" ht="12.75" outlineLevel="1">
      <c r="A45" s="426" t="str">
        <f>CONCATENATE($B$42,B45)</f>
        <v>4603</v>
      </c>
      <c r="B45" s="427" t="s">
        <v>278</v>
      </c>
      <c r="C45" s="428" t="str">
        <f>VLOOKUP(B45,Справочники!$B:$F,3,FALSE)</f>
        <v>Дальний Восток</v>
      </c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673"/>
      <c r="P45" s="8"/>
    </row>
    <row r="46" spans="1:16" ht="12.75" outlineLevel="1">
      <c r="A46" s="426" t="str">
        <f>CONCATENATE($B$42,B46)</f>
        <v>4604</v>
      </c>
      <c r="B46" s="427" t="s">
        <v>279</v>
      </c>
      <c r="C46" s="428" t="str">
        <f>VLOOKUP(B46,Справочники!$B:$F,3,FALSE)</f>
        <v>Экспорт (СНГ и др.)</v>
      </c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673"/>
      <c r="P46" s="8"/>
    </row>
    <row r="47" spans="1:16" s="1" customFormat="1" ht="12.75">
      <c r="A47" s="3"/>
      <c r="B47" s="463"/>
      <c r="C47" s="482" t="s">
        <v>217</v>
      </c>
      <c r="D47" s="538">
        <f aca="true" t="shared" si="9" ref="D47:O47">SUM(D48:D51)</f>
        <v>778100</v>
      </c>
      <c r="E47" s="465">
        <f t="shared" si="9"/>
        <v>1076566.6666666667</v>
      </c>
      <c r="F47" s="465">
        <f t="shared" si="9"/>
        <v>1135900</v>
      </c>
      <c r="G47" s="465">
        <f t="shared" si="9"/>
        <v>1206600</v>
      </c>
      <c r="H47" s="465">
        <f t="shared" si="9"/>
        <v>10283050.847457627</v>
      </c>
      <c r="I47" s="465">
        <f t="shared" si="9"/>
        <v>22256271.186440676</v>
      </c>
      <c r="J47" s="465">
        <f t="shared" si="9"/>
        <v>36766101.69491526</v>
      </c>
      <c r="K47" s="465">
        <f t="shared" si="9"/>
        <v>805084.7457627119</v>
      </c>
      <c r="L47" s="465">
        <f t="shared" si="9"/>
        <v>515254.2372881356</v>
      </c>
      <c r="M47" s="465">
        <f t="shared" si="9"/>
        <v>0</v>
      </c>
      <c r="N47" s="465">
        <f t="shared" si="9"/>
        <v>0</v>
      </c>
      <c r="O47" s="466">
        <f t="shared" si="9"/>
        <v>0</v>
      </c>
      <c r="P47" s="45"/>
    </row>
    <row r="48" spans="1:16" ht="12.75" outlineLevel="1">
      <c r="A48" s="621"/>
      <c r="B48" s="427" t="s">
        <v>276</v>
      </c>
      <c r="C48" s="428" t="str">
        <f>VLOOKUP(B48,Справочники!$B:$F,3,FALSE)</f>
        <v>Европейская Россия</v>
      </c>
      <c r="D48" s="605">
        <f aca="true" t="shared" si="10" ref="D48:O48">SUMIF($B$13:$B$46,$B48,D$13:D$46)</f>
        <v>778100</v>
      </c>
      <c r="E48" s="468">
        <f t="shared" si="10"/>
        <v>1076566.6666666667</v>
      </c>
      <c r="F48" s="468">
        <f t="shared" si="10"/>
        <v>1135900</v>
      </c>
      <c r="G48" s="468">
        <f t="shared" si="10"/>
        <v>1206600</v>
      </c>
      <c r="H48" s="468">
        <f aca="true" t="shared" si="11" ref="H48:J51">SUMIF($B$13:$B$46,$B48,H$13:H$46)</f>
        <v>10283050.847457627</v>
      </c>
      <c r="I48" s="468">
        <f t="shared" si="11"/>
        <v>22256271.186440676</v>
      </c>
      <c r="J48" s="468">
        <f t="shared" si="11"/>
        <v>36766101.69491526</v>
      </c>
      <c r="K48" s="468">
        <f t="shared" si="10"/>
        <v>805084.7457627119</v>
      </c>
      <c r="L48" s="468">
        <f t="shared" si="10"/>
        <v>515254.2372881356</v>
      </c>
      <c r="M48" s="468">
        <f t="shared" si="10"/>
        <v>0</v>
      </c>
      <c r="N48" s="468">
        <f t="shared" si="10"/>
        <v>0</v>
      </c>
      <c r="O48" s="622">
        <f t="shared" si="10"/>
        <v>0</v>
      </c>
      <c r="P48" s="8"/>
    </row>
    <row r="49" spans="1:16" ht="12.75" outlineLevel="1">
      <c r="A49" s="720"/>
      <c r="B49" s="427" t="s">
        <v>277</v>
      </c>
      <c r="C49" s="428" t="str">
        <f>VLOOKUP(B49,Справочники!$B:$F,3,FALSE)</f>
        <v>Сибирь</v>
      </c>
      <c r="D49" s="456">
        <f aca="true" t="shared" si="12" ref="D49:O51">SUMIF($B$13:$B$46,$B49,D$13:D$46)</f>
        <v>0</v>
      </c>
      <c r="E49" s="721">
        <f t="shared" si="12"/>
        <v>0</v>
      </c>
      <c r="F49" s="721">
        <f t="shared" si="12"/>
        <v>0</v>
      </c>
      <c r="G49" s="721">
        <f t="shared" si="12"/>
        <v>0</v>
      </c>
      <c r="H49" s="721">
        <f t="shared" si="11"/>
        <v>0</v>
      </c>
      <c r="I49" s="721">
        <f t="shared" si="11"/>
        <v>0</v>
      </c>
      <c r="J49" s="721">
        <f t="shared" si="11"/>
        <v>0</v>
      </c>
      <c r="K49" s="721">
        <f t="shared" si="12"/>
        <v>0</v>
      </c>
      <c r="L49" s="721">
        <f t="shared" si="12"/>
        <v>0</v>
      </c>
      <c r="M49" s="721">
        <f t="shared" si="12"/>
        <v>0</v>
      </c>
      <c r="N49" s="721">
        <f t="shared" si="12"/>
        <v>0</v>
      </c>
      <c r="O49" s="722">
        <f t="shared" si="12"/>
        <v>0</v>
      </c>
      <c r="P49" s="8"/>
    </row>
    <row r="50" spans="1:16" ht="12.75" outlineLevel="1">
      <c r="A50" s="720"/>
      <c r="B50" s="427" t="s">
        <v>278</v>
      </c>
      <c r="C50" s="428" t="str">
        <f>VLOOKUP(B50,Справочники!$B:$F,3,FALSE)</f>
        <v>Дальний Восток</v>
      </c>
      <c r="D50" s="456">
        <f t="shared" si="12"/>
        <v>0</v>
      </c>
      <c r="E50" s="721">
        <f t="shared" si="12"/>
        <v>0</v>
      </c>
      <c r="F50" s="721">
        <f t="shared" si="12"/>
        <v>0</v>
      </c>
      <c r="G50" s="721">
        <f t="shared" si="12"/>
        <v>0</v>
      </c>
      <c r="H50" s="721">
        <f t="shared" si="11"/>
        <v>0</v>
      </c>
      <c r="I50" s="721">
        <f t="shared" si="11"/>
        <v>0</v>
      </c>
      <c r="J50" s="721">
        <f t="shared" si="11"/>
        <v>0</v>
      </c>
      <c r="K50" s="721">
        <f t="shared" si="12"/>
        <v>0</v>
      </c>
      <c r="L50" s="721">
        <f t="shared" si="12"/>
        <v>0</v>
      </c>
      <c r="M50" s="721">
        <f t="shared" si="12"/>
        <v>0</v>
      </c>
      <c r="N50" s="721">
        <f t="shared" si="12"/>
        <v>0</v>
      </c>
      <c r="O50" s="722">
        <f t="shared" si="12"/>
        <v>0</v>
      </c>
      <c r="P50" s="8"/>
    </row>
    <row r="51" spans="1:16" ht="12.75" outlineLevel="1">
      <c r="A51" s="432"/>
      <c r="B51" s="450" t="s">
        <v>279</v>
      </c>
      <c r="C51" s="659" t="str">
        <f>VLOOKUP(B51,Справочники!$B:$F,3,FALSE)</f>
        <v>Экспорт (СНГ и др.)</v>
      </c>
      <c r="D51" s="457">
        <f t="shared" si="12"/>
        <v>0</v>
      </c>
      <c r="E51" s="442">
        <f t="shared" si="12"/>
        <v>0</v>
      </c>
      <c r="F51" s="442">
        <f t="shared" si="12"/>
        <v>0</v>
      </c>
      <c r="G51" s="442">
        <f t="shared" si="12"/>
        <v>0</v>
      </c>
      <c r="H51" s="442">
        <f t="shared" si="11"/>
        <v>0</v>
      </c>
      <c r="I51" s="442">
        <f t="shared" si="11"/>
        <v>0</v>
      </c>
      <c r="J51" s="442">
        <f t="shared" si="11"/>
        <v>0</v>
      </c>
      <c r="K51" s="442">
        <f t="shared" si="12"/>
        <v>0</v>
      </c>
      <c r="L51" s="442">
        <f t="shared" si="12"/>
        <v>0</v>
      </c>
      <c r="M51" s="442">
        <f t="shared" si="12"/>
        <v>0</v>
      </c>
      <c r="N51" s="442">
        <f t="shared" si="12"/>
        <v>0</v>
      </c>
      <c r="O51" s="444">
        <f t="shared" si="12"/>
        <v>0</v>
      </c>
      <c r="P51" s="8"/>
    </row>
    <row r="54" spans="2:15" s="36" customFormat="1" ht="12.75">
      <c r="B54" s="439"/>
      <c r="C54" s="445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</row>
    <row r="55" spans="2:19" ht="30" customHeight="1">
      <c r="B55" s="1136" t="s">
        <v>655</v>
      </c>
      <c r="C55" s="1136"/>
      <c r="D55" s="1136"/>
      <c r="E55" s="1136"/>
      <c r="F55" s="1136"/>
      <c r="G55" s="1136"/>
      <c r="H55" s="1136"/>
      <c r="I55" s="1136"/>
      <c r="J55" s="1136"/>
      <c r="K55" s="1136"/>
      <c r="L55" s="1136"/>
      <c r="M55" s="1136"/>
      <c r="N55" s="1136"/>
      <c r="O55" s="1136"/>
      <c r="P55" s="357"/>
      <c r="Q55" s="357"/>
      <c r="R55" s="357"/>
      <c r="S55" s="357"/>
    </row>
    <row r="56" spans="3:15" ht="12.75" customHeight="1"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</row>
    <row r="57" spans="3:16" s="102" customFormat="1" ht="13.5">
      <c r="C57" s="97" t="s">
        <v>218</v>
      </c>
      <c r="D57" s="97"/>
      <c r="E57" s="97"/>
      <c r="G57" s="97"/>
      <c r="H57" s="97"/>
      <c r="I57" s="97"/>
      <c r="P57" s="2"/>
    </row>
    <row r="58" spans="3:16" s="102" customFormat="1" ht="13.5">
      <c r="C58" s="97" t="s">
        <v>219</v>
      </c>
      <c r="D58" s="97"/>
      <c r="E58" s="97"/>
      <c r="G58" s="97"/>
      <c r="H58" s="97"/>
      <c r="I58" s="97"/>
      <c r="P58" s="2"/>
    </row>
    <row r="59" spans="3:9" s="102" customFormat="1" ht="13.5">
      <c r="C59" s="97" t="s">
        <v>220</v>
      </c>
      <c r="D59" s="97"/>
      <c r="E59" s="97"/>
      <c r="G59" s="97"/>
      <c r="H59" s="97"/>
      <c r="I59" s="97"/>
    </row>
    <row r="60" spans="1:15" ht="12.75" customHeight="1">
      <c r="A60" s="1135" t="s">
        <v>117</v>
      </c>
      <c r="B60" s="1135" t="s">
        <v>264</v>
      </c>
      <c r="C60" s="1134" t="s">
        <v>186</v>
      </c>
      <c r="D60" s="1129">
        <f>D9</f>
        <v>2006</v>
      </c>
      <c r="E60" s="1130"/>
      <c r="F60" s="1130"/>
      <c r="G60" s="1131"/>
      <c r="H60" s="1133">
        <f>D60+1</f>
        <v>2007</v>
      </c>
      <c r="I60" s="1121">
        <f>H60+1</f>
        <v>2008</v>
      </c>
      <c r="J60" s="1121">
        <f aca="true" t="shared" si="13" ref="J60:O60">I60+1</f>
        <v>2009</v>
      </c>
      <c r="K60" s="1121">
        <f t="shared" si="13"/>
        <v>2010</v>
      </c>
      <c r="L60" s="1121">
        <f t="shared" si="13"/>
        <v>2011</v>
      </c>
      <c r="M60" s="1121">
        <f t="shared" si="13"/>
        <v>2012</v>
      </c>
      <c r="N60" s="1121">
        <f t="shared" si="13"/>
        <v>2013</v>
      </c>
      <c r="O60" s="1121">
        <f t="shared" si="13"/>
        <v>2014</v>
      </c>
    </row>
    <row r="61" spans="1:16" s="12" customFormat="1" ht="12.75">
      <c r="A61" s="1135"/>
      <c r="B61" s="1135"/>
      <c r="C61" s="1134"/>
      <c r="D61" s="763" t="s">
        <v>725</v>
      </c>
      <c r="E61" s="763" t="s">
        <v>726</v>
      </c>
      <c r="F61" s="763" t="s">
        <v>727</v>
      </c>
      <c r="G61" s="763" t="s">
        <v>728</v>
      </c>
      <c r="H61" s="1133"/>
      <c r="I61" s="1122"/>
      <c r="J61" s="1122"/>
      <c r="K61" s="1122"/>
      <c r="L61" s="1122"/>
      <c r="M61" s="1122"/>
      <c r="N61" s="1122"/>
      <c r="O61" s="1122"/>
      <c r="P61" s="102"/>
    </row>
    <row r="62" spans="1:16" s="93" customFormat="1" ht="12.75">
      <c r="A62" s="355">
        <v>0</v>
      </c>
      <c r="B62" s="355">
        <v>1</v>
      </c>
      <c r="C62" s="11">
        <f aca="true" t="shared" si="14" ref="C62:O62">B62+1</f>
        <v>2</v>
      </c>
      <c r="D62" s="11">
        <f t="shared" si="14"/>
        <v>3</v>
      </c>
      <c r="E62" s="11">
        <f t="shared" si="14"/>
        <v>4</v>
      </c>
      <c r="F62" s="11">
        <f t="shared" si="14"/>
        <v>5</v>
      </c>
      <c r="G62" s="11">
        <f t="shared" si="14"/>
        <v>6</v>
      </c>
      <c r="H62" s="11">
        <f t="shared" si="14"/>
        <v>7</v>
      </c>
      <c r="I62" s="11">
        <f t="shared" si="14"/>
        <v>8</v>
      </c>
      <c r="J62" s="11">
        <f t="shared" si="14"/>
        <v>9</v>
      </c>
      <c r="K62" s="11">
        <f t="shared" si="14"/>
        <v>10</v>
      </c>
      <c r="L62" s="11">
        <f t="shared" si="14"/>
        <v>11</v>
      </c>
      <c r="M62" s="11">
        <f t="shared" si="14"/>
        <v>12</v>
      </c>
      <c r="N62" s="11">
        <f t="shared" si="14"/>
        <v>13</v>
      </c>
      <c r="O62" s="11">
        <f t="shared" si="14"/>
        <v>14</v>
      </c>
      <c r="P62" s="2"/>
    </row>
    <row r="63" spans="1:16" s="1" customFormat="1" ht="12.75">
      <c r="A63" s="420"/>
      <c r="B63" s="421" t="s">
        <v>323</v>
      </c>
      <c r="C63" s="719" t="str">
        <f>VLOOKUP(B63,Справочники!$B:$F,3,FALSE)</f>
        <v>Специализированные комплексы</v>
      </c>
      <c r="D63" s="423">
        <f aca="true" t="shared" si="15" ref="D63:O63">SUM(D64:D67)</f>
        <v>463970</v>
      </c>
      <c r="E63" s="424">
        <f t="shared" si="15"/>
        <v>619180</v>
      </c>
      <c r="F63" s="424">
        <f t="shared" si="15"/>
        <v>619180</v>
      </c>
      <c r="G63" s="424">
        <f t="shared" si="15"/>
        <v>619180</v>
      </c>
      <c r="H63" s="424">
        <f t="shared" si="15"/>
        <v>4150000</v>
      </c>
      <c r="I63" s="424">
        <f t="shared" si="15"/>
        <v>6640000</v>
      </c>
      <c r="J63" s="424">
        <f t="shared" si="15"/>
        <v>12450000</v>
      </c>
      <c r="K63" s="424">
        <f t="shared" si="15"/>
        <v>0</v>
      </c>
      <c r="L63" s="424">
        <f t="shared" si="15"/>
        <v>0</v>
      </c>
      <c r="M63" s="424">
        <f t="shared" si="15"/>
        <v>0</v>
      </c>
      <c r="N63" s="424">
        <f t="shared" si="15"/>
        <v>0</v>
      </c>
      <c r="O63" s="425">
        <f t="shared" si="15"/>
        <v>0</v>
      </c>
      <c r="P63" s="45"/>
    </row>
    <row r="64" spans="1:16" ht="12.75" outlineLevel="1">
      <c r="A64" s="426" t="str">
        <f>CONCATENATE($B$12,B64)</f>
        <v>4001</v>
      </c>
      <c r="B64" s="427" t="s">
        <v>276</v>
      </c>
      <c r="C64" s="428" t="str">
        <f>VLOOKUP(B64,Справочники!$B:$F,3,FALSE)</f>
        <v>Европейская Россия</v>
      </c>
      <c r="D64" s="724">
        <f>D13-D13*VLOOKUP($B$63,Параметры!$A$6:$O$12,COLUMN(Параметры!D:D),FALSE)</f>
        <v>463970</v>
      </c>
      <c r="E64" s="724">
        <f>E13-E13*VLOOKUP($B$63,Параметры!$A$6:$O$12,COLUMN(Параметры!E:E),FALSE)</f>
        <v>619180</v>
      </c>
      <c r="F64" s="724">
        <f>F13-F13*VLOOKUP($B$63,Параметры!$A$6:$O$12,COLUMN(Параметры!F:F),FALSE)</f>
        <v>619180</v>
      </c>
      <c r="G64" s="724">
        <f>G13-G13*VLOOKUP($B$63,Параметры!$A$6:$O$12,COLUMN(Параметры!G:G),FALSE)</f>
        <v>619180</v>
      </c>
      <c r="H64" s="724">
        <f>H13-H13*VLOOKUP($B$63,Параметры!$A$6:$O$12,COLUMN(Параметры!H:H),FALSE)</f>
        <v>4150000</v>
      </c>
      <c r="I64" s="724">
        <f>I13-I13*VLOOKUP($B$63,Параметры!$A$6:$O$12,COLUMN(Параметры!I:I),FALSE)</f>
        <v>6640000</v>
      </c>
      <c r="J64" s="724">
        <f>J13-J13*VLOOKUP($B$63,Параметры!$A$6:$O$12,COLUMN(Параметры!J:J),FALSE)</f>
        <v>12450000</v>
      </c>
      <c r="K64" s="724">
        <f>K13-K13*VLOOKUP($B$63,Параметры!$A$6:$O$12,COLUMN(Параметры!K:K),FALSE)</f>
        <v>0</v>
      </c>
      <c r="L64" s="724">
        <f>L13-L13*VLOOKUP($B$63,Параметры!$A$6:$O$12,COLUMN(Параметры!L:L),FALSE)</f>
        <v>0</v>
      </c>
      <c r="M64" s="724">
        <f>M13-M13*VLOOKUP($B$63,Параметры!$A$6:$O$12,COLUMN(Параметры!M:M),FALSE)</f>
        <v>0</v>
      </c>
      <c r="N64" s="724">
        <f>N13-N13*VLOOKUP($B$63,Параметры!$A$6:$O$12,COLUMN(Параметры!N:N),FALSE)</f>
        <v>0</v>
      </c>
      <c r="O64" s="725">
        <f>O13-O13*VLOOKUP($B$63,Параметры!$A$6:$O$12,COLUMN(Параметры!O:O),FALSE)</f>
        <v>0</v>
      </c>
      <c r="P64" s="8"/>
    </row>
    <row r="65" spans="1:16" ht="12.75" outlineLevel="1">
      <c r="A65" s="426" t="str">
        <f>CONCATENATE($B$12,B65)</f>
        <v>4002</v>
      </c>
      <c r="B65" s="427" t="s">
        <v>277</v>
      </c>
      <c r="C65" s="428" t="str">
        <f>VLOOKUP(B65,Справочники!$B:$F,3,FALSE)</f>
        <v>Сибирь</v>
      </c>
      <c r="D65" s="724">
        <f>D14-D14*VLOOKUP($B$63,Параметры!$A$6:$O$12,COLUMN(Параметры!D:D),FALSE)</f>
        <v>0</v>
      </c>
      <c r="E65" s="724">
        <f>E14-E14*VLOOKUP($B$63,Параметры!$A$6:$O$12,COLUMN(Параметры!E:E),FALSE)</f>
        <v>0</v>
      </c>
      <c r="F65" s="724">
        <f>F14-F14*VLOOKUP($B$63,Параметры!$A$6:$O$12,COLUMN(Параметры!F:F),FALSE)</f>
        <v>0</v>
      </c>
      <c r="G65" s="724">
        <f>G14-G14*VLOOKUP($B$63,Параметры!$A$6:$O$12,COLUMN(Параметры!G:G),FALSE)</f>
        <v>0</v>
      </c>
      <c r="H65" s="724">
        <f>H14-H14*VLOOKUP($B$63,Параметры!$A$6:$O$12,COLUMN(Параметры!H:H),FALSE)</f>
        <v>0</v>
      </c>
      <c r="I65" s="724">
        <f>I14-I14*VLOOKUP($B$63,Параметры!$A$6:$O$12,COLUMN(Параметры!I:I),FALSE)</f>
        <v>0</v>
      </c>
      <c r="J65" s="724">
        <f>J14-J14*VLOOKUP($B$63,Параметры!$A$6:$O$12,COLUMN(Параметры!J:J),FALSE)</f>
        <v>0</v>
      </c>
      <c r="K65" s="724">
        <f>K14-K14*VLOOKUP($B$63,Параметры!$A$6:$O$12,COLUMN(Параметры!K:K),FALSE)</f>
        <v>0</v>
      </c>
      <c r="L65" s="724">
        <f>L14-L14*VLOOKUP($B$63,Параметры!$A$6:$O$12,COLUMN(Параметры!L:L),FALSE)</f>
        <v>0</v>
      </c>
      <c r="M65" s="724">
        <f>M14-M14*VLOOKUP($B$63,Параметры!$A$6:$O$12,COLUMN(Параметры!M:M),FALSE)</f>
        <v>0</v>
      </c>
      <c r="N65" s="724">
        <f>N14-N14*VLOOKUP($B$63,Параметры!$A$6:$O$12,COLUMN(Параметры!N:N),FALSE)</f>
        <v>0</v>
      </c>
      <c r="O65" s="725">
        <f>O14-O14*VLOOKUP($B$63,Параметры!$A$6:$O$12,COLUMN(Параметры!O:O),FALSE)</f>
        <v>0</v>
      </c>
      <c r="P65" s="8"/>
    </row>
    <row r="66" spans="1:16" ht="12.75" outlineLevel="1">
      <c r="A66" s="426" t="str">
        <f>CONCATENATE($B$12,B66)</f>
        <v>4003</v>
      </c>
      <c r="B66" s="427" t="s">
        <v>278</v>
      </c>
      <c r="C66" s="428" t="str">
        <f>VLOOKUP(B66,Справочники!$B:$F,3,FALSE)</f>
        <v>Дальний Восток</v>
      </c>
      <c r="D66" s="724">
        <f>D15-D15*VLOOKUP($B$63,Параметры!$A$6:$O$12,COLUMN(Параметры!D:D),FALSE)</f>
        <v>0</v>
      </c>
      <c r="E66" s="724">
        <f>E15-E15*VLOOKUP($B$63,Параметры!$A$6:$O$12,COLUMN(Параметры!E:E),FALSE)</f>
        <v>0</v>
      </c>
      <c r="F66" s="724">
        <f>F15-F15*VLOOKUP($B$63,Параметры!$A$6:$O$12,COLUMN(Параметры!F:F),FALSE)</f>
        <v>0</v>
      </c>
      <c r="G66" s="724">
        <f>G15-G15*VLOOKUP($B$63,Параметры!$A$6:$O$12,COLUMN(Параметры!G:G),FALSE)</f>
        <v>0</v>
      </c>
      <c r="H66" s="724">
        <f>H15-H15*VLOOKUP($B$63,Параметры!$A$6:$O$12,COLUMN(Параметры!H:H),FALSE)</f>
        <v>0</v>
      </c>
      <c r="I66" s="724">
        <f>I15-I15*VLOOKUP($B$63,Параметры!$A$6:$O$12,COLUMN(Параметры!I:I),FALSE)</f>
        <v>0</v>
      </c>
      <c r="J66" s="724">
        <f>J15-J15*VLOOKUP($B$63,Параметры!$A$6:$O$12,COLUMN(Параметры!J:J),FALSE)</f>
        <v>0</v>
      </c>
      <c r="K66" s="724">
        <f>K15-K15*VLOOKUP($B$63,Параметры!$A$6:$O$12,COLUMN(Параметры!K:K),FALSE)</f>
        <v>0</v>
      </c>
      <c r="L66" s="724">
        <f>L15-L15*VLOOKUP($B$63,Параметры!$A$6:$O$12,COLUMN(Параметры!L:L),FALSE)</f>
        <v>0</v>
      </c>
      <c r="M66" s="724">
        <f>M15-M15*VLOOKUP($B$63,Параметры!$A$6:$O$12,COLUMN(Параметры!M:M),FALSE)</f>
        <v>0</v>
      </c>
      <c r="N66" s="724">
        <f>N15-N15*VLOOKUP($B$63,Параметры!$A$6:$O$12,COLUMN(Параметры!N:N),FALSE)</f>
        <v>0</v>
      </c>
      <c r="O66" s="725">
        <f>O15-O15*VLOOKUP($B$63,Параметры!$A$6:$O$12,COLUMN(Параметры!O:O),FALSE)</f>
        <v>0</v>
      </c>
      <c r="P66" s="8"/>
    </row>
    <row r="67" spans="1:16" ht="12.75" outlineLevel="1">
      <c r="A67" s="426" t="str">
        <f>CONCATENATE($B$12,B67)</f>
        <v>4004</v>
      </c>
      <c r="B67" s="427" t="s">
        <v>279</v>
      </c>
      <c r="C67" s="428" t="str">
        <f>VLOOKUP(B67,Справочники!$B:$F,3,FALSE)</f>
        <v>Экспорт (СНГ и др.)</v>
      </c>
      <c r="D67" s="724">
        <f>D16-D16*VLOOKUP($B$63,Параметры!$A$6:$O$12,COLUMN(Параметры!D:D),FALSE)</f>
        <v>0</v>
      </c>
      <c r="E67" s="724">
        <f>E16-E16*VLOOKUP($B$63,Параметры!$A$6:$O$12,COLUMN(Параметры!E:E),FALSE)</f>
        <v>0</v>
      </c>
      <c r="F67" s="724">
        <f>F16-F16*VLOOKUP($B$63,Параметры!$A$6:$O$12,COLUMN(Параметры!F:F),FALSE)</f>
        <v>0</v>
      </c>
      <c r="G67" s="724">
        <f>G16-G16*VLOOKUP($B$63,Параметры!$A$6:$O$12,COLUMN(Параметры!G:G),FALSE)</f>
        <v>0</v>
      </c>
      <c r="H67" s="724">
        <f>H16-H16*VLOOKUP($B$63,Параметры!$A$6:$O$12,COLUMN(Параметры!H:H),FALSE)</f>
        <v>0</v>
      </c>
      <c r="I67" s="724">
        <f>I16-I16*VLOOKUP($B$63,Параметры!$A$6:$O$12,COLUMN(Параметры!I:I),FALSE)</f>
        <v>0</v>
      </c>
      <c r="J67" s="724">
        <f>J16-J16*VLOOKUP($B$63,Параметры!$A$6:$O$12,COLUMN(Параметры!J:J),FALSE)</f>
        <v>0</v>
      </c>
      <c r="K67" s="724">
        <f>K16-K16*VLOOKUP($B$63,Параметры!$A$6:$O$12,COLUMN(Параметры!K:K),FALSE)</f>
        <v>0</v>
      </c>
      <c r="L67" s="724">
        <f>L16-L16*VLOOKUP($B$63,Параметры!$A$6:$O$12,COLUMN(Параметры!L:L),FALSE)</f>
        <v>0</v>
      </c>
      <c r="M67" s="724">
        <f>M16-M16*VLOOKUP($B$63,Параметры!$A$6:$O$12,COLUMN(Параметры!M:M),FALSE)</f>
        <v>0</v>
      </c>
      <c r="N67" s="724">
        <f>N16-N16*VLOOKUP($B$63,Параметры!$A$6:$O$12,COLUMN(Параметры!N:N),FALSE)</f>
        <v>0</v>
      </c>
      <c r="O67" s="725">
        <f>O16-O16*VLOOKUP($B$63,Параметры!$A$6:$O$12,COLUMN(Параметры!O:O),FALSE)</f>
        <v>0</v>
      </c>
      <c r="P67" s="8"/>
    </row>
    <row r="68" spans="1:16" s="1" customFormat="1" ht="12.75">
      <c r="A68" s="420"/>
      <c r="B68" s="421" t="s">
        <v>324</v>
      </c>
      <c r="C68" s="719" t="str">
        <f>VLOOKUP(B68,Справочники!$B:$F,3,FALSE)</f>
        <v>Серверные решения</v>
      </c>
      <c r="D68" s="423">
        <f aca="true" t="shared" si="16" ref="D68:O68">SUM(D69:D72)</f>
        <v>122000</v>
      </c>
      <c r="E68" s="424">
        <f t="shared" si="16"/>
        <v>162800</v>
      </c>
      <c r="F68" s="424">
        <f t="shared" si="16"/>
        <v>244000</v>
      </c>
      <c r="G68" s="424">
        <f t="shared" si="16"/>
        <v>284800</v>
      </c>
      <c r="H68" s="424">
        <f t="shared" si="16"/>
        <v>960000</v>
      </c>
      <c r="I68" s="424">
        <f t="shared" si="16"/>
        <v>2384000</v>
      </c>
      <c r="J68" s="424">
        <f t="shared" si="16"/>
        <v>3200000</v>
      </c>
      <c r="K68" s="424">
        <f t="shared" si="16"/>
        <v>0</v>
      </c>
      <c r="L68" s="424">
        <f t="shared" si="16"/>
        <v>0</v>
      </c>
      <c r="M68" s="424">
        <f t="shared" si="16"/>
        <v>0</v>
      </c>
      <c r="N68" s="424">
        <f t="shared" si="16"/>
        <v>0</v>
      </c>
      <c r="O68" s="425">
        <f t="shared" si="16"/>
        <v>0</v>
      </c>
      <c r="P68" s="45"/>
    </row>
    <row r="69" spans="1:16" ht="12.75" outlineLevel="1">
      <c r="A69" s="426" t="str">
        <f>CONCATENATE($B$17,B69)</f>
        <v>4101</v>
      </c>
      <c r="B69" s="427" t="s">
        <v>276</v>
      </c>
      <c r="C69" s="428" t="str">
        <f>VLOOKUP(B69,Справочники!$B:$F,3,FALSE)</f>
        <v>Европейская Россия</v>
      </c>
      <c r="D69" s="724">
        <f>D18-D18*VLOOKUP($B$68,Параметры!$A$6:$O$12,COLUMN(Параметры!D:D),FALSE)</f>
        <v>122000</v>
      </c>
      <c r="E69" s="724">
        <f>E18-E18*VLOOKUP($B$68,Параметры!$A$6:$O$12,COLUMN(Параметры!E:E),FALSE)</f>
        <v>162800</v>
      </c>
      <c r="F69" s="724">
        <f>F18-F18*VLOOKUP($B$68,Параметры!$A$6:$O$12,COLUMN(Параметры!F:F),FALSE)</f>
        <v>244000</v>
      </c>
      <c r="G69" s="724">
        <f>G18-G18*VLOOKUP($B$68,Параметры!$A$6:$O$12,COLUMN(Параметры!G:G),FALSE)</f>
        <v>284800</v>
      </c>
      <c r="H69" s="724">
        <f>H18-H18*VLOOKUP($B$68,Параметры!$A$6:$O$12,COLUMN(Параметры!H:H),FALSE)</f>
        <v>960000</v>
      </c>
      <c r="I69" s="724">
        <f>I18-I18*VLOOKUP($B$68,Параметры!$A$6:$O$12,COLUMN(Параметры!I:I),FALSE)</f>
        <v>2384000</v>
      </c>
      <c r="J69" s="724">
        <f>J18-J18*VLOOKUP($B$68,Параметры!$A$6:$O$12,COLUMN(Параметры!J:J),FALSE)</f>
        <v>3200000</v>
      </c>
      <c r="K69" s="724">
        <f>K18-K18*VLOOKUP($B$68,Параметры!$A$6:$O$12,COLUMN(Параметры!K:K),FALSE)</f>
        <v>0</v>
      </c>
      <c r="L69" s="724">
        <f>L18-L18*VLOOKUP($B$68,Параметры!$A$6:$O$12,COLUMN(Параметры!L:L),FALSE)</f>
        <v>0</v>
      </c>
      <c r="M69" s="724">
        <f>M18-M18*VLOOKUP($B$68,Параметры!$A$6:$O$12,COLUMN(Параметры!M:M),FALSE)</f>
        <v>0</v>
      </c>
      <c r="N69" s="724">
        <f>N18-N18*VLOOKUP($B$68,Параметры!$A$6:$O$12,COLUMN(Параметры!N:N),FALSE)</f>
        <v>0</v>
      </c>
      <c r="O69" s="725">
        <f>O18-O18*VLOOKUP($B$68,Параметры!$A$6:$O$12,COLUMN(Параметры!O:O),FALSE)</f>
        <v>0</v>
      </c>
      <c r="P69" s="8"/>
    </row>
    <row r="70" spans="1:16" ht="12.75" outlineLevel="1">
      <c r="A70" s="426" t="str">
        <f>CONCATENATE($B$17,B70)</f>
        <v>4102</v>
      </c>
      <c r="B70" s="427" t="s">
        <v>277</v>
      </c>
      <c r="C70" s="428" t="str">
        <f>VLOOKUP(B70,Справочники!$B:$F,3,FALSE)</f>
        <v>Сибирь</v>
      </c>
      <c r="D70" s="724">
        <f>D19-D19*VLOOKUP($B$68,Параметры!$A$6:$O$12,COLUMN(Параметры!D:D),FALSE)</f>
        <v>0</v>
      </c>
      <c r="E70" s="724">
        <f>E19-E19*VLOOKUP($B$68,Параметры!$A$6:$O$12,COLUMN(Параметры!E:E),FALSE)</f>
        <v>0</v>
      </c>
      <c r="F70" s="724">
        <f>F19-F19*VLOOKUP($B$68,Параметры!$A$6:$O$12,COLUMN(Параметры!F:F),FALSE)</f>
        <v>0</v>
      </c>
      <c r="G70" s="724">
        <f>G19-G19*VLOOKUP($B$68,Параметры!$A$6:$O$12,COLUMN(Параметры!G:G),FALSE)</f>
        <v>0</v>
      </c>
      <c r="H70" s="724">
        <f>H19-H19*VLOOKUP($B$68,Параметры!$A$6:$O$12,COLUMN(Параметры!H:H),FALSE)</f>
        <v>0</v>
      </c>
      <c r="I70" s="724">
        <f>I19-I19*VLOOKUP($B$68,Параметры!$A$6:$O$12,COLUMN(Параметры!I:I),FALSE)</f>
        <v>0</v>
      </c>
      <c r="J70" s="724">
        <f>J19-J19*VLOOKUP($B$68,Параметры!$A$6:$O$12,COLUMN(Параметры!J:J),FALSE)</f>
        <v>0</v>
      </c>
      <c r="K70" s="724">
        <f>K19-K19*VLOOKUP($B$68,Параметры!$A$6:$O$12,COLUMN(Параметры!K:K),FALSE)</f>
        <v>0</v>
      </c>
      <c r="L70" s="724">
        <f>L19-L19*VLOOKUP($B$68,Параметры!$A$6:$O$12,COLUMN(Параметры!L:L),FALSE)</f>
        <v>0</v>
      </c>
      <c r="M70" s="724">
        <f>M19-M19*VLOOKUP($B$68,Параметры!$A$6:$O$12,COLUMN(Параметры!M:M),FALSE)</f>
        <v>0</v>
      </c>
      <c r="N70" s="724">
        <f>N19-N19*VLOOKUP($B$68,Параметры!$A$6:$O$12,COLUMN(Параметры!N:N),FALSE)</f>
        <v>0</v>
      </c>
      <c r="O70" s="725">
        <f>O19-O19*VLOOKUP($B$68,Параметры!$A$6:$O$12,COLUMN(Параметры!O:O),FALSE)</f>
        <v>0</v>
      </c>
      <c r="P70" s="8"/>
    </row>
    <row r="71" spans="1:16" ht="12.75" outlineLevel="1">
      <c r="A71" s="426" t="str">
        <f>CONCATENATE($B$17,B71)</f>
        <v>4103</v>
      </c>
      <c r="B71" s="427" t="s">
        <v>278</v>
      </c>
      <c r="C71" s="428" t="str">
        <f>VLOOKUP(B71,Справочники!$B:$F,3,FALSE)</f>
        <v>Дальний Восток</v>
      </c>
      <c r="D71" s="724">
        <f>D20-D20*VLOOKUP($B$68,Параметры!$A$6:$O$12,COLUMN(Параметры!D:D),FALSE)</f>
        <v>0</v>
      </c>
      <c r="E71" s="724">
        <f>E20-E20*VLOOKUP($B$68,Параметры!$A$6:$O$12,COLUMN(Параметры!E:E),FALSE)</f>
        <v>0</v>
      </c>
      <c r="F71" s="724">
        <f>F20-F20*VLOOKUP($B$68,Параметры!$A$6:$O$12,COLUMN(Параметры!F:F),FALSE)</f>
        <v>0</v>
      </c>
      <c r="G71" s="724">
        <f>G20-G20*VLOOKUP($B$68,Параметры!$A$6:$O$12,COLUMN(Параметры!G:G),FALSE)</f>
        <v>0</v>
      </c>
      <c r="H71" s="724">
        <f>H20-H20*VLOOKUP($B$68,Параметры!$A$6:$O$12,COLUMN(Параметры!H:H),FALSE)</f>
        <v>0</v>
      </c>
      <c r="I71" s="724">
        <f>I20-I20*VLOOKUP($B$68,Параметры!$A$6:$O$12,COLUMN(Параметры!I:I),FALSE)</f>
        <v>0</v>
      </c>
      <c r="J71" s="724">
        <f>J20-J20*VLOOKUP($B$68,Параметры!$A$6:$O$12,COLUMN(Параметры!J:J),FALSE)</f>
        <v>0</v>
      </c>
      <c r="K71" s="724">
        <f>K20-K20*VLOOKUP($B$68,Параметры!$A$6:$O$12,COLUMN(Параметры!K:K),FALSE)</f>
        <v>0</v>
      </c>
      <c r="L71" s="724">
        <f>L20-L20*VLOOKUP($B$68,Параметры!$A$6:$O$12,COLUMN(Параметры!L:L),FALSE)</f>
        <v>0</v>
      </c>
      <c r="M71" s="724">
        <f>M20-M20*VLOOKUP($B$68,Параметры!$A$6:$O$12,COLUMN(Параметры!M:M),FALSE)</f>
        <v>0</v>
      </c>
      <c r="N71" s="724">
        <f>N20-N20*VLOOKUP($B$68,Параметры!$A$6:$O$12,COLUMN(Параметры!N:N),FALSE)</f>
        <v>0</v>
      </c>
      <c r="O71" s="725">
        <f>O20-O20*VLOOKUP($B$68,Параметры!$A$6:$O$12,COLUMN(Параметры!O:O),FALSE)</f>
        <v>0</v>
      </c>
      <c r="P71" s="8"/>
    </row>
    <row r="72" spans="1:16" ht="12.75" outlineLevel="1">
      <c r="A72" s="426" t="str">
        <f>CONCATENATE($B$17,B72)</f>
        <v>4104</v>
      </c>
      <c r="B72" s="427" t="s">
        <v>279</v>
      </c>
      <c r="C72" s="428" t="str">
        <f>VLOOKUP(B72,Справочники!$B:$F,3,FALSE)</f>
        <v>Экспорт (СНГ и др.)</v>
      </c>
      <c r="D72" s="724">
        <f>D21-D21*VLOOKUP($B$68,Параметры!$A$6:$O$12,COLUMN(Параметры!D:D),FALSE)</f>
        <v>0</v>
      </c>
      <c r="E72" s="724">
        <f>E21-E21*VLOOKUP($B$68,Параметры!$A$6:$O$12,COLUMN(Параметры!E:E),FALSE)</f>
        <v>0</v>
      </c>
      <c r="F72" s="724">
        <f>F21-F21*VLOOKUP($B$68,Параметры!$A$6:$O$12,COLUMN(Параметры!F:F),FALSE)</f>
        <v>0</v>
      </c>
      <c r="G72" s="724">
        <f>G21-G21*VLOOKUP($B$68,Параметры!$A$6:$O$12,COLUMN(Параметры!G:G),FALSE)</f>
        <v>0</v>
      </c>
      <c r="H72" s="724">
        <f>H21-H21*VLOOKUP($B$68,Параметры!$A$6:$O$12,COLUMN(Параметры!H:H),FALSE)</f>
        <v>0</v>
      </c>
      <c r="I72" s="724">
        <f>I21-I21*VLOOKUP($B$68,Параметры!$A$6:$O$12,COLUMN(Параметры!I:I),FALSE)</f>
        <v>0</v>
      </c>
      <c r="J72" s="724">
        <f>J21-J21*VLOOKUP($B$68,Параметры!$A$6:$O$12,COLUMN(Параметры!J:J),FALSE)</f>
        <v>0</v>
      </c>
      <c r="K72" s="724">
        <f>K21-K21*VLOOKUP($B$68,Параметры!$A$6:$O$12,COLUMN(Параметры!K:K),FALSE)</f>
        <v>0</v>
      </c>
      <c r="L72" s="724">
        <f>L21-L21*VLOOKUP($B$68,Параметры!$A$6:$O$12,COLUMN(Параметры!L:L),FALSE)</f>
        <v>0</v>
      </c>
      <c r="M72" s="724">
        <f>M21-M21*VLOOKUP($B$68,Параметры!$A$6:$O$12,COLUMN(Параметры!M:M),FALSE)</f>
        <v>0</v>
      </c>
      <c r="N72" s="724">
        <f>N21-N21*VLOOKUP($B$68,Параметры!$A$6:$O$12,COLUMN(Параметры!N:N),FALSE)</f>
        <v>0</v>
      </c>
      <c r="O72" s="725">
        <f>O21-O21*VLOOKUP($B$68,Параметры!$A$6:$O$12,COLUMN(Параметры!O:O),FALSE)</f>
        <v>0</v>
      </c>
      <c r="P72" s="8"/>
    </row>
    <row r="73" spans="1:16" s="1" customFormat="1" ht="12.75">
      <c r="A73" s="420"/>
      <c r="B73" s="421" t="s">
        <v>325</v>
      </c>
      <c r="C73" s="719" t="str">
        <f>VLOOKUP(B73,Справочники!$B:$F,3,FALSE)</f>
        <v>Системы хранения данных</v>
      </c>
      <c r="D73" s="423">
        <f aca="true" t="shared" si="17" ref="D73:O73">SUM(D74:D77)</f>
        <v>13600</v>
      </c>
      <c r="E73" s="424">
        <f t="shared" si="17"/>
        <v>20400</v>
      </c>
      <c r="F73" s="424">
        <f t="shared" si="17"/>
        <v>34000</v>
      </c>
      <c r="G73" s="424">
        <f t="shared" si="17"/>
        <v>34000</v>
      </c>
      <c r="H73" s="424">
        <f t="shared" si="17"/>
        <v>960000</v>
      </c>
      <c r="I73" s="424">
        <f t="shared" si="17"/>
        <v>2320000</v>
      </c>
      <c r="J73" s="424">
        <f t="shared" si="17"/>
        <v>2000000</v>
      </c>
      <c r="K73" s="424">
        <f t="shared" si="17"/>
        <v>0</v>
      </c>
      <c r="L73" s="424">
        <f t="shared" si="17"/>
        <v>0</v>
      </c>
      <c r="M73" s="424">
        <f t="shared" si="17"/>
        <v>0</v>
      </c>
      <c r="N73" s="424">
        <f t="shared" si="17"/>
        <v>0</v>
      </c>
      <c r="O73" s="425">
        <f t="shared" si="17"/>
        <v>0</v>
      </c>
      <c r="P73" s="45"/>
    </row>
    <row r="74" spans="1:16" ht="12.75" outlineLevel="1">
      <c r="A74" s="426" t="str">
        <f>CONCATENATE($B$22,B74)</f>
        <v>4201</v>
      </c>
      <c r="B74" s="427" t="s">
        <v>276</v>
      </c>
      <c r="C74" s="428" t="str">
        <f>VLOOKUP(B74,Справочники!$B:$F,3,FALSE)</f>
        <v>Европейская Россия</v>
      </c>
      <c r="D74" s="724">
        <f>D23-D23*VLOOKUP($B$73,Параметры!$A$6:$O$12,COLUMN(Параметры!D:D),FALSE)</f>
        <v>13600</v>
      </c>
      <c r="E74" s="724">
        <f>E23-E23*VLOOKUP($B$73,Параметры!$A$6:$O$12,COLUMN(Параметры!E:E),FALSE)</f>
        <v>20400</v>
      </c>
      <c r="F74" s="724">
        <f>F23-F23*VLOOKUP($B$73,Параметры!$A$6:$O$12,COLUMN(Параметры!F:F),FALSE)</f>
        <v>34000</v>
      </c>
      <c r="G74" s="724">
        <f>G23-G23*VLOOKUP($B$73,Параметры!$A$6:$O$12,COLUMN(Параметры!G:G),FALSE)</f>
        <v>34000</v>
      </c>
      <c r="H74" s="724">
        <f>H23-H23*VLOOKUP($B$73,Параметры!$A$6:$O$12,COLUMN(Параметры!H:H),FALSE)</f>
        <v>960000</v>
      </c>
      <c r="I74" s="724">
        <f>I23-I23*VLOOKUP($B$73,Параметры!$A$6:$O$12,COLUMN(Параметры!I:I),FALSE)</f>
        <v>2320000</v>
      </c>
      <c r="J74" s="724">
        <f>J23-J23*VLOOKUP($B$73,Параметры!$A$6:$O$12,COLUMN(Параметры!J:J),FALSE)</f>
        <v>2000000</v>
      </c>
      <c r="K74" s="724">
        <f>K23-K23*VLOOKUP($B$73,Параметры!$A$6:$O$12,COLUMN(Параметры!K:K),FALSE)</f>
        <v>0</v>
      </c>
      <c r="L74" s="724">
        <f>L23-L23*VLOOKUP($B$73,Параметры!$A$6:$O$12,COLUMN(Параметры!L:L),FALSE)</f>
        <v>0</v>
      </c>
      <c r="M74" s="724">
        <f>M23-M23*VLOOKUP($B$73,Параметры!$A$6:$O$12,COLUMN(Параметры!M:M),FALSE)</f>
        <v>0</v>
      </c>
      <c r="N74" s="724">
        <f>N23-N23*VLOOKUP($B$73,Параметры!$A$6:$O$12,COLUMN(Параметры!N:N),FALSE)</f>
        <v>0</v>
      </c>
      <c r="O74" s="725">
        <f>O23-O23*VLOOKUP($B$73,Параметры!$A$6:$O$12,COLUMN(Параметры!O:O),FALSE)</f>
        <v>0</v>
      </c>
      <c r="P74" s="8"/>
    </row>
    <row r="75" spans="1:16" ht="12.75" outlineLevel="1">
      <c r="A75" s="426" t="str">
        <f>CONCATENATE($B$22,B75)</f>
        <v>4202</v>
      </c>
      <c r="B75" s="427" t="s">
        <v>277</v>
      </c>
      <c r="C75" s="428" t="str">
        <f>VLOOKUP(B75,Справочники!$B:$F,3,FALSE)</f>
        <v>Сибирь</v>
      </c>
      <c r="D75" s="724">
        <f>D24-D24*VLOOKUP($B$73,Параметры!$A$6:$O$12,COLUMN(Параметры!D:D),FALSE)</f>
        <v>0</v>
      </c>
      <c r="E75" s="724">
        <f>E24-E24*VLOOKUP($B$73,Параметры!$A$6:$O$12,COLUMN(Параметры!E:E),FALSE)</f>
        <v>0</v>
      </c>
      <c r="F75" s="724">
        <f>F24-F24*VLOOKUP($B$73,Параметры!$A$6:$O$12,COLUMN(Параметры!F:F),FALSE)</f>
        <v>0</v>
      </c>
      <c r="G75" s="724">
        <f>G24-G24*VLOOKUP($B$73,Параметры!$A$6:$O$12,COLUMN(Параметры!G:G),FALSE)</f>
        <v>0</v>
      </c>
      <c r="H75" s="724">
        <f>H24-H24*VLOOKUP($B$73,Параметры!$A$6:$O$12,COLUMN(Параметры!H:H),FALSE)</f>
        <v>0</v>
      </c>
      <c r="I75" s="724">
        <f>I24-I24*VLOOKUP($B$73,Параметры!$A$6:$O$12,COLUMN(Параметры!I:I),FALSE)</f>
        <v>0</v>
      </c>
      <c r="J75" s="724">
        <f>J24-J24*VLOOKUP($B$73,Параметры!$A$6:$O$12,COLUMN(Параметры!J:J),FALSE)</f>
        <v>0</v>
      </c>
      <c r="K75" s="724">
        <f>K24-K24*VLOOKUP($B$73,Параметры!$A$6:$O$12,COLUMN(Параметры!K:K),FALSE)</f>
        <v>0</v>
      </c>
      <c r="L75" s="724">
        <f>L24-L24*VLOOKUP($B$73,Параметры!$A$6:$O$12,COLUMN(Параметры!L:L),FALSE)</f>
        <v>0</v>
      </c>
      <c r="M75" s="724">
        <f>M24-M24*VLOOKUP($B$73,Параметры!$A$6:$O$12,COLUMN(Параметры!M:M),FALSE)</f>
        <v>0</v>
      </c>
      <c r="N75" s="724">
        <f>N24-N24*VLOOKUP($B$73,Параметры!$A$6:$O$12,COLUMN(Параметры!N:N),FALSE)</f>
        <v>0</v>
      </c>
      <c r="O75" s="725">
        <f>O24-O24*VLOOKUP($B$73,Параметры!$A$6:$O$12,COLUMN(Параметры!O:O),FALSE)</f>
        <v>0</v>
      </c>
      <c r="P75" s="8"/>
    </row>
    <row r="76" spans="1:16" ht="12.75" outlineLevel="1">
      <c r="A76" s="426" t="str">
        <f>CONCATENATE($B$22,B76)</f>
        <v>4203</v>
      </c>
      <c r="B76" s="427" t="s">
        <v>278</v>
      </c>
      <c r="C76" s="428" t="str">
        <f>VLOOKUP(B76,Справочники!$B:$F,3,FALSE)</f>
        <v>Дальний Восток</v>
      </c>
      <c r="D76" s="724">
        <f>D25-D25*VLOOKUP($B$73,Параметры!$A$6:$O$12,COLUMN(Параметры!D:D),FALSE)</f>
        <v>0</v>
      </c>
      <c r="E76" s="724">
        <f>E25-E25*VLOOKUP($B$73,Параметры!$A$6:$O$12,COLUMN(Параметры!E:E),FALSE)</f>
        <v>0</v>
      </c>
      <c r="F76" s="724">
        <f>F25-F25*VLOOKUP($B$73,Параметры!$A$6:$O$12,COLUMN(Параметры!F:F),FALSE)</f>
        <v>0</v>
      </c>
      <c r="G76" s="724">
        <f>G25-G25*VLOOKUP($B$73,Параметры!$A$6:$O$12,COLUMN(Параметры!G:G),FALSE)</f>
        <v>0</v>
      </c>
      <c r="H76" s="724">
        <f>H25-H25*VLOOKUP($B$73,Параметры!$A$6:$O$12,COLUMN(Параметры!H:H),FALSE)</f>
        <v>0</v>
      </c>
      <c r="I76" s="724">
        <f>I25-I25*VLOOKUP($B$73,Параметры!$A$6:$O$12,COLUMN(Параметры!I:I),FALSE)</f>
        <v>0</v>
      </c>
      <c r="J76" s="724">
        <f>J25-J25*VLOOKUP($B$73,Параметры!$A$6:$O$12,COLUMN(Параметры!J:J),FALSE)</f>
        <v>0</v>
      </c>
      <c r="K76" s="724">
        <f>K25-K25*VLOOKUP($B$73,Параметры!$A$6:$O$12,COLUMN(Параметры!K:K),FALSE)</f>
        <v>0</v>
      </c>
      <c r="L76" s="724">
        <f>L25-L25*VLOOKUP($B$73,Параметры!$A$6:$O$12,COLUMN(Параметры!L:L),FALSE)</f>
        <v>0</v>
      </c>
      <c r="M76" s="724">
        <f>M25-M25*VLOOKUP($B$73,Параметры!$A$6:$O$12,COLUMN(Параметры!M:M),FALSE)</f>
        <v>0</v>
      </c>
      <c r="N76" s="724">
        <f>N25-N25*VLOOKUP($B$73,Параметры!$A$6:$O$12,COLUMN(Параметры!N:N),FALSE)</f>
        <v>0</v>
      </c>
      <c r="O76" s="725">
        <f>O25-O25*VLOOKUP($B$73,Параметры!$A$6:$O$12,COLUMN(Параметры!O:O),FALSE)</f>
        <v>0</v>
      </c>
      <c r="P76" s="8"/>
    </row>
    <row r="77" spans="1:16" ht="12.75" outlineLevel="1">
      <c r="A77" s="426" t="str">
        <f>CONCATENATE($B$22,B77)</f>
        <v>4204</v>
      </c>
      <c r="B77" s="427" t="s">
        <v>279</v>
      </c>
      <c r="C77" s="428" t="str">
        <f>VLOOKUP(B77,Справочники!$B:$F,3,FALSE)</f>
        <v>Экспорт (СНГ и др.)</v>
      </c>
      <c r="D77" s="724">
        <f>D26-D26*VLOOKUP($B$73,Параметры!$A$6:$O$12,COLUMN(Параметры!D:D),FALSE)</f>
        <v>0</v>
      </c>
      <c r="E77" s="724">
        <f>E26-E26*VLOOKUP($B$73,Параметры!$A$6:$O$12,COLUMN(Параметры!E:E),FALSE)</f>
        <v>0</v>
      </c>
      <c r="F77" s="724">
        <f>F26-F26*VLOOKUP($B$73,Параметры!$A$6:$O$12,COLUMN(Параметры!F:F),FALSE)</f>
        <v>0</v>
      </c>
      <c r="G77" s="724">
        <f>G26-G26*VLOOKUP($B$73,Параметры!$A$6:$O$12,COLUMN(Параметры!G:G),FALSE)</f>
        <v>0</v>
      </c>
      <c r="H77" s="724">
        <f>H26-H26*VLOOKUP($B$73,Параметры!$A$6:$O$12,COLUMN(Параметры!H:H),FALSE)</f>
        <v>0</v>
      </c>
      <c r="I77" s="724">
        <f>I26-I26*VLOOKUP($B$73,Параметры!$A$6:$O$12,COLUMN(Параметры!I:I),FALSE)</f>
        <v>0</v>
      </c>
      <c r="J77" s="724">
        <f>J26-J26*VLOOKUP($B$73,Параметры!$A$6:$O$12,COLUMN(Параметры!J:J),FALSE)</f>
        <v>0</v>
      </c>
      <c r="K77" s="724">
        <f>K26-K26*VLOOKUP($B$73,Параметры!$A$6:$O$12,COLUMN(Параметры!K:K),FALSE)</f>
        <v>0</v>
      </c>
      <c r="L77" s="724">
        <f>L26-L26*VLOOKUP($B$73,Параметры!$A$6:$O$12,COLUMN(Параметры!L:L),FALSE)</f>
        <v>0</v>
      </c>
      <c r="M77" s="724">
        <f>M26-M26*VLOOKUP($B$73,Параметры!$A$6:$O$12,COLUMN(Параметры!M:M),FALSE)</f>
        <v>0</v>
      </c>
      <c r="N77" s="724">
        <f>N26-N26*VLOOKUP($B$73,Параметры!$A$6:$O$12,COLUMN(Параметры!N:N),FALSE)</f>
        <v>0</v>
      </c>
      <c r="O77" s="725">
        <f>O26-O26*VLOOKUP($B$73,Параметры!$A$6:$O$12,COLUMN(Параметры!O:O),FALSE)</f>
        <v>0</v>
      </c>
      <c r="P77" s="8"/>
    </row>
    <row r="78" spans="1:16" s="1" customFormat="1" ht="12.75">
      <c r="A78" s="420"/>
      <c r="B78" s="421" t="s">
        <v>326</v>
      </c>
      <c r="C78" s="719" t="str">
        <f>VLOOKUP(B78,Справочники!$B:$F,3,FALSE)</f>
        <v>Програмное обеспечение</v>
      </c>
      <c r="D78" s="423">
        <f aca="true" t="shared" si="18" ref="D78:O78">SUM(D79:D82)</f>
        <v>0</v>
      </c>
      <c r="E78" s="424">
        <f t="shared" si="18"/>
        <v>6375</v>
      </c>
      <c r="F78" s="424">
        <f t="shared" si="18"/>
        <v>6375</v>
      </c>
      <c r="G78" s="424">
        <f t="shared" si="18"/>
        <v>6375</v>
      </c>
      <c r="H78" s="424">
        <f t="shared" si="18"/>
        <v>75000</v>
      </c>
      <c r="I78" s="424">
        <f t="shared" si="18"/>
        <v>225000</v>
      </c>
      <c r="J78" s="424">
        <f t="shared" si="18"/>
        <v>225000</v>
      </c>
      <c r="K78" s="424">
        <f t="shared" si="18"/>
        <v>0</v>
      </c>
      <c r="L78" s="424">
        <f t="shared" si="18"/>
        <v>0</v>
      </c>
      <c r="M78" s="424">
        <f t="shared" si="18"/>
        <v>0</v>
      </c>
      <c r="N78" s="424">
        <f t="shared" si="18"/>
        <v>0</v>
      </c>
      <c r="O78" s="425">
        <f t="shared" si="18"/>
        <v>0</v>
      </c>
      <c r="P78" s="45"/>
    </row>
    <row r="79" spans="1:16" ht="12.75" outlineLevel="1">
      <c r="A79" s="426" t="str">
        <f>CONCATENATE($B$27,B79)</f>
        <v>4301</v>
      </c>
      <c r="B79" s="427" t="s">
        <v>276</v>
      </c>
      <c r="C79" s="428" t="str">
        <f>VLOOKUP(B79,Справочники!$B:$F,3,FALSE)</f>
        <v>Европейская Россия</v>
      </c>
      <c r="D79" s="724">
        <f>D28-D28*VLOOKUP($B$78,Параметры!$A$6:$O$12,COLUMN(Параметры!D:D),FALSE)</f>
        <v>0</v>
      </c>
      <c r="E79" s="724">
        <f>E28-E28*VLOOKUP($B$78,Параметры!$A$6:$O$12,COLUMN(Параметры!E:E),FALSE)</f>
        <v>6375</v>
      </c>
      <c r="F79" s="724">
        <f>F28-F28*VLOOKUP($B$78,Параметры!$A$6:$O$12,COLUMN(Параметры!F:F),FALSE)</f>
        <v>6375</v>
      </c>
      <c r="G79" s="724">
        <f>G28-G28*VLOOKUP($B$78,Параметры!$A$6:$O$12,COLUMN(Параметры!G:G),FALSE)</f>
        <v>6375</v>
      </c>
      <c r="H79" s="724">
        <f>H28-H28*VLOOKUP($B$78,Параметры!$A$6:$O$12,COLUMN(Параметры!H:H),FALSE)</f>
        <v>75000</v>
      </c>
      <c r="I79" s="724">
        <f>I28-I28*VLOOKUP($B$78,Параметры!$A$6:$O$12,COLUMN(Параметры!I:I),FALSE)</f>
        <v>225000</v>
      </c>
      <c r="J79" s="724">
        <f>J28-J28*VLOOKUP($B$78,Параметры!$A$6:$O$12,COLUMN(Параметры!J:J),FALSE)</f>
        <v>225000</v>
      </c>
      <c r="K79" s="724">
        <f>K28-K28*VLOOKUP($B$78,Параметры!$A$6:$O$12,COLUMN(Параметры!K:K),FALSE)</f>
        <v>0</v>
      </c>
      <c r="L79" s="724">
        <f>L28-L28*VLOOKUP($B$78,Параметры!$A$6:$O$12,COLUMN(Параметры!L:L),FALSE)</f>
        <v>0</v>
      </c>
      <c r="M79" s="724">
        <f>M28-M28*VLOOKUP($B$78,Параметры!$A$6:$O$12,COLUMN(Параметры!M:M),FALSE)</f>
        <v>0</v>
      </c>
      <c r="N79" s="724">
        <f>N28-N28*VLOOKUP($B$78,Параметры!$A$6:$O$12,COLUMN(Параметры!N:N),FALSE)</f>
        <v>0</v>
      </c>
      <c r="O79" s="725">
        <f>O28-O28*VLOOKUP($B$78,Параметры!$A$6:$O$12,COLUMN(Параметры!O:O),FALSE)</f>
        <v>0</v>
      </c>
      <c r="P79" s="8"/>
    </row>
    <row r="80" spans="1:16" ht="12.75" outlineLevel="1">
      <c r="A80" s="426" t="str">
        <f>CONCATENATE($B$27,B80)</f>
        <v>4302</v>
      </c>
      <c r="B80" s="427" t="s">
        <v>277</v>
      </c>
      <c r="C80" s="428" t="str">
        <f>VLOOKUP(B80,Справочники!$B:$F,3,FALSE)</f>
        <v>Сибирь</v>
      </c>
      <c r="D80" s="724">
        <f>D29-D29*VLOOKUP($B$78,Параметры!$A$6:$O$12,COLUMN(Параметры!D:D),FALSE)</f>
        <v>0</v>
      </c>
      <c r="E80" s="724">
        <f>E29-E29*VLOOKUP($B$78,Параметры!$A$6:$O$12,COLUMN(Параметры!E:E),FALSE)</f>
        <v>0</v>
      </c>
      <c r="F80" s="724">
        <f>F29-F29*VLOOKUP($B$78,Параметры!$A$6:$O$12,COLUMN(Параметры!F:F),FALSE)</f>
        <v>0</v>
      </c>
      <c r="G80" s="724">
        <f>G29-G29*VLOOKUP($B$78,Параметры!$A$6:$O$12,COLUMN(Параметры!G:G),FALSE)</f>
        <v>0</v>
      </c>
      <c r="H80" s="724">
        <f>H29-H29*VLOOKUP($B$78,Параметры!$A$6:$O$12,COLUMN(Параметры!H:H),FALSE)</f>
        <v>0</v>
      </c>
      <c r="I80" s="724">
        <f>I29-I29*VLOOKUP($B$78,Параметры!$A$6:$O$12,COLUMN(Параметры!I:I),FALSE)</f>
        <v>0</v>
      </c>
      <c r="J80" s="724">
        <f>J29-J29*VLOOKUP($B$78,Параметры!$A$6:$O$12,COLUMN(Параметры!J:J),FALSE)</f>
        <v>0</v>
      </c>
      <c r="K80" s="724">
        <f>K29-K29*VLOOKUP($B$78,Параметры!$A$6:$O$12,COLUMN(Параметры!K:K),FALSE)</f>
        <v>0</v>
      </c>
      <c r="L80" s="724">
        <f>L29-L29*VLOOKUP($B$78,Параметры!$A$6:$O$12,COLUMN(Параметры!L:L),FALSE)</f>
        <v>0</v>
      </c>
      <c r="M80" s="724">
        <f>M29-M29*VLOOKUP($B$78,Параметры!$A$6:$O$12,COLUMN(Параметры!M:M),FALSE)</f>
        <v>0</v>
      </c>
      <c r="N80" s="724">
        <f>N29-N29*VLOOKUP($B$78,Параметры!$A$6:$O$12,COLUMN(Параметры!N:N),FALSE)</f>
        <v>0</v>
      </c>
      <c r="O80" s="725">
        <f>O29-O29*VLOOKUP($B$78,Параметры!$A$6:$O$12,COLUMN(Параметры!O:O),FALSE)</f>
        <v>0</v>
      </c>
      <c r="P80" s="8"/>
    </row>
    <row r="81" spans="1:16" ht="12.75" outlineLevel="1">
      <c r="A81" s="426" t="str">
        <f>CONCATENATE($B$27,B81)</f>
        <v>4303</v>
      </c>
      <c r="B81" s="427" t="s">
        <v>278</v>
      </c>
      <c r="C81" s="428" t="str">
        <f>VLOOKUP(B81,Справочники!$B:$F,3,FALSE)</f>
        <v>Дальний Восток</v>
      </c>
      <c r="D81" s="724">
        <f>D30-D30*VLOOKUP($B$78,Параметры!$A$6:$O$12,COLUMN(Параметры!D:D),FALSE)</f>
        <v>0</v>
      </c>
      <c r="E81" s="724">
        <f>E30-E30*VLOOKUP($B$78,Параметры!$A$6:$O$12,COLUMN(Параметры!E:E),FALSE)</f>
        <v>0</v>
      </c>
      <c r="F81" s="724">
        <f>F30-F30*VLOOKUP($B$78,Параметры!$A$6:$O$12,COLUMN(Параметры!F:F),FALSE)</f>
        <v>0</v>
      </c>
      <c r="G81" s="724">
        <f>G30-G30*VLOOKUP($B$78,Параметры!$A$6:$O$12,COLUMN(Параметры!G:G),FALSE)</f>
        <v>0</v>
      </c>
      <c r="H81" s="724">
        <f>H30-H30*VLOOKUP($B$78,Параметры!$A$6:$O$12,COLUMN(Параметры!H:H),FALSE)</f>
        <v>0</v>
      </c>
      <c r="I81" s="724">
        <f>I30-I30*VLOOKUP($B$78,Параметры!$A$6:$O$12,COLUMN(Параметры!I:I),FALSE)</f>
        <v>0</v>
      </c>
      <c r="J81" s="724">
        <f>J30-J30*VLOOKUP($B$78,Параметры!$A$6:$O$12,COLUMN(Параметры!J:J),FALSE)</f>
        <v>0</v>
      </c>
      <c r="K81" s="724">
        <f>K30-K30*VLOOKUP($B$78,Параметры!$A$6:$O$12,COLUMN(Параметры!K:K),FALSE)</f>
        <v>0</v>
      </c>
      <c r="L81" s="724">
        <f>L30-L30*VLOOKUP($B$78,Параметры!$A$6:$O$12,COLUMN(Параметры!L:L),FALSE)</f>
        <v>0</v>
      </c>
      <c r="M81" s="724">
        <f>M30-M30*VLOOKUP($B$78,Параметры!$A$6:$O$12,COLUMN(Параметры!M:M),FALSE)</f>
        <v>0</v>
      </c>
      <c r="N81" s="724">
        <f>N30-N30*VLOOKUP($B$78,Параметры!$A$6:$O$12,COLUMN(Параметры!N:N),FALSE)</f>
        <v>0</v>
      </c>
      <c r="O81" s="725">
        <f>O30-O30*VLOOKUP($B$78,Параметры!$A$6:$O$12,COLUMN(Параметры!O:O),FALSE)</f>
        <v>0</v>
      </c>
      <c r="P81" s="8"/>
    </row>
    <row r="82" spans="1:16" ht="12.75" outlineLevel="1">
      <c r="A82" s="426" t="str">
        <f>CONCATENATE($B$27,B82)</f>
        <v>4304</v>
      </c>
      <c r="B82" s="427" t="s">
        <v>279</v>
      </c>
      <c r="C82" s="428" t="str">
        <f>VLOOKUP(B82,Справочники!$B:$F,3,FALSE)</f>
        <v>Экспорт (СНГ и др.)</v>
      </c>
      <c r="D82" s="724">
        <f>D31-D31*VLOOKUP($B$78,Параметры!$A$6:$O$12,COLUMN(Параметры!D:D),FALSE)</f>
        <v>0</v>
      </c>
      <c r="E82" s="724">
        <f>E31-E31*VLOOKUP($B$78,Параметры!$A$6:$O$12,COLUMN(Параметры!E:E),FALSE)</f>
        <v>0</v>
      </c>
      <c r="F82" s="724">
        <f>F31-F31*VLOOKUP($B$78,Параметры!$A$6:$O$12,COLUMN(Параметры!F:F),FALSE)</f>
        <v>0</v>
      </c>
      <c r="G82" s="724">
        <f>G31-G31*VLOOKUP($B$78,Параметры!$A$6:$O$12,COLUMN(Параметры!G:G),FALSE)</f>
        <v>0</v>
      </c>
      <c r="H82" s="724">
        <f>H31-H31*VLOOKUP($B$78,Параметры!$A$6:$O$12,COLUMN(Параметры!H:H),FALSE)</f>
        <v>0</v>
      </c>
      <c r="I82" s="724">
        <f>I31-I31*VLOOKUP($B$78,Параметры!$A$6:$O$12,COLUMN(Параметры!I:I),FALSE)</f>
        <v>0</v>
      </c>
      <c r="J82" s="724">
        <f>J31-J31*VLOOKUP($B$78,Параметры!$A$6:$O$12,COLUMN(Параметры!J:J),FALSE)</f>
        <v>0</v>
      </c>
      <c r="K82" s="724">
        <f>K31-K31*VLOOKUP($B$78,Параметры!$A$6:$O$12,COLUMN(Параметры!K:K),FALSE)</f>
        <v>0</v>
      </c>
      <c r="L82" s="724">
        <f>L31-L31*VLOOKUP($B$78,Параметры!$A$6:$O$12,COLUMN(Параметры!L:L),FALSE)</f>
        <v>0</v>
      </c>
      <c r="M82" s="724">
        <f>M31-M31*VLOOKUP($B$78,Параметры!$A$6:$O$12,COLUMN(Параметры!M:M),FALSE)</f>
        <v>0</v>
      </c>
      <c r="N82" s="724">
        <f>N31-N31*VLOOKUP($B$78,Параметры!$A$6:$O$12,COLUMN(Параметры!N:N),FALSE)</f>
        <v>0</v>
      </c>
      <c r="O82" s="725">
        <f>O31-O31*VLOOKUP($B$78,Параметры!$A$6:$O$12,COLUMN(Параметры!O:O),FALSE)</f>
        <v>0</v>
      </c>
      <c r="P82" s="8"/>
    </row>
    <row r="83" spans="1:16" s="1" customFormat="1" ht="12.75">
      <c r="A83" s="420"/>
      <c r="B83" s="421" t="s">
        <v>327</v>
      </c>
      <c r="C83" s="719" t="str">
        <f>VLOOKUP(B83,Справочники!$B:$F,3,FALSE)</f>
        <v>Услуги</v>
      </c>
      <c r="D83" s="423">
        <f aca="true" t="shared" si="19" ref="D83:O83">SUM(D84:D87)</f>
        <v>0</v>
      </c>
      <c r="E83" s="424">
        <f t="shared" si="19"/>
        <v>0</v>
      </c>
      <c r="F83" s="424">
        <f t="shared" si="19"/>
        <v>0</v>
      </c>
      <c r="G83" s="424">
        <f t="shared" si="19"/>
        <v>0</v>
      </c>
      <c r="H83" s="424">
        <f t="shared" si="19"/>
        <v>0</v>
      </c>
      <c r="I83" s="424">
        <f t="shared" si="19"/>
        <v>0</v>
      </c>
      <c r="J83" s="424">
        <f t="shared" si="19"/>
        <v>0</v>
      </c>
      <c r="K83" s="424">
        <f t="shared" si="19"/>
        <v>0</v>
      </c>
      <c r="L83" s="424">
        <f t="shared" si="19"/>
        <v>0</v>
      </c>
      <c r="M83" s="424">
        <f t="shared" si="19"/>
        <v>0</v>
      </c>
      <c r="N83" s="424">
        <f t="shared" si="19"/>
        <v>0</v>
      </c>
      <c r="O83" s="425">
        <f t="shared" si="19"/>
        <v>0</v>
      </c>
      <c r="P83" s="45"/>
    </row>
    <row r="84" spans="1:16" ht="12.75" outlineLevel="1">
      <c r="A84" s="426" t="str">
        <f>CONCATENATE($B$32,B84)</f>
        <v>4401</v>
      </c>
      <c r="B84" s="427" t="s">
        <v>276</v>
      </c>
      <c r="C84" s="428" t="str">
        <f>VLOOKUP(B84,Справочники!$B:$F,3,FALSE)</f>
        <v>Европейская Россия</v>
      </c>
      <c r="D84" s="724">
        <f>D33-D33*VLOOKUP($B$83,Параметры!$A$6:$O$12,COLUMN(Параметры!D:D),FALSE)</f>
        <v>0</v>
      </c>
      <c r="E84" s="724">
        <f>E33-E33*VLOOKUP($B$83,Параметры!$A$6:$O$12,COLUMN(Параметры!E:E),FALSE)</f>
        <v>0</v>
      </c>
      <c r="F84" s="724">
        <f>F33-F33*VLOOKUP($B$83,Параметры!$A$6:$O$12,COLUMN(Параметры!F:F),FALSE)</f>
        <v>0</v>
      </c>
      <c r="G84" s="724">
        <f>G33-G33*VLOOKUP($B$83,Параметры!$A$6:$O$12,COLUMN(Параметры!G:G),FALSE)</f>
        <v>0</v>
      </c>
      <c r="H84" s="724">
        <f>H33-H33*VLOOKUP($B$83,Параметры!$A$6:$O$12,COLUMN(Параметры!H:H),FALSE)</f>
        <v>0</v>
      </c>
      <c r="I84" s="724">
        <f>I33-I33*VLOOKUP($B$83,Параметры!$A$6:$O$12,COLUMN(Параметры!I:I),FALSE)</f>
        <v>0</v>
      </c>
      <c r="J84" s="724">
        <f>J33-J33*VLOOKUP($B$83,Параметры!$A$6:$O$12,COLUMN(Параметры!J:J),FALSE)</f>
        <v>0</v>
      </c>
      <c r="K84" s="724">
        <f>K33-K33*VLOOKUP($B$83,Параметры!$A$6:$O$12,COLUMN(Параметры!K:K),FALSE)</f>
        <v>0</v>
      </c>
      <c r="L84" s="724">
        <f>L33-L33*VLOOKUP($B$83,Параметры!$A$6:$O$12,COLUMN(Параметры!L:L),FALSE)</f>
        <v>0</v>
      </c>
      <c r="M84" s="724">
        <f>M33-M33*VLOOKUP($B$83,Параметры!$A$6:$O$12,COLUMN(Параметры!M:M),FALSE)</f>
        <v>0</v>
      </c>
      <c r="N84" s="724">
        <f>N33-N33*VLOOKUP($B$83,Параметры!$A$6:$O$12,COLUMN(Параметры!N:N),FALSE)</f>
        <v>0</v>
      </c>
      <c r="O84" s="725">
        <f>O33-O33*VLOOKUP($B$83,Параметры!$A$6:$O$12,COLUMN(Параметры!O:O),FALSE)</f>
        <v>0</v>
      </c>
      <c r="P84" s="8"/>
    </row>
    <row r="85" spans="1:16" ht="12.75" outlineLevel="1">
      <c r="A85" s="426" t="str">
        <f>CONCATENATE($B$32,B85)</f>
        <v>4402</v>
      </c>
      <c r="B85" s="427" t="s">
        <v>277</v>
      </c>
      <c r="C85" s="428" t="str">
        <f>VLOOKUP(B85,Справочники!$B:$F,3,FALSE)</f>
        <v>Сибирь</v>
      </c>
      <c r="D85" s="724">
        <f>D34-D34*VLOOKUP($B$83,Параметры!$A$6:$O$12,COLUMN(Параметры!D:D),FALSE)</f>
        <v>0</v>
      </c>
      <c r="E85" s="724">
        <f>E34-E34*VLOOKUP($B$83,Параметры!$A$6:$O$12,COLUMN(Параметры!E:E),FALSE)</f>
        <v>0</v>
      </c>
      <c r="F85" s="724">
        <f>F34-F34*VLOOKUP($B$83,Параметры!$A$6:$O$12,COLUMN(Параметры!F:F),FALSE)</f>
        <v>0</v>
      </c>
      <c r="G85" s="724">
        <f>G34-G34*VLOOKUP($B$83,Параметры!$A$6:$O$12,COLUMN(Параметры!G:G),FALSE)</f>
        <v>0</v>
      </c>
      <c r="H85" s="724">
        <f>H34-H34*VLOOKUP($B$83,Параметры!$A$6:$O$12,COLUMN(Параметры!H:H),FALSE)</f>
        <v>0</v>
      </c>
      <c r="I85" s="724">
        <f>I34-I34*VLOOKUP($B$83,Параметры!$A$6:$O$12,COLUMN(Параметры!I:I),FALSE)</f>
        <v>0</v>
      </c>
      <c r="J85" s="724">
        <f>J34-J34*VLOOKUP($B$83,Параметры!$A$6:$O$12,COLUMN(Параметры!J:J),FALSE)</f>
        <v>0</v>
      </c>
      <c r="K85" s="724">
        <f>K34-K34*VLOOKUP($B$83,Параметры!$A$6:$O$12,COLUMN(Параметры!K:K),FALSE)</f>
        <v>0</v>
      </c>
      <c r="L85" s="724">
        <f>L34-L34*VLOOKUP($B$83,Параметры!$A$6:$O$12,COLUMN(Параметры!L:L),FALSE)</f>
        <v>0</v>
      </c>
      <c r="M85" s="724">
        <f>M34-M34*VLOOKUP($B$83,Параметры!$A$6:$O$12,COLUMN(Параметры!M:M),FALSE)</f>
        <v>0</v>
      </c>
      <c r="N85" s="724">
        <f>N34-N34*VLOOKUP($B$83,Параметры!$A$6:$O$12,COLUMN(Параметры!N:N),FALSE)</f>
        <v>0</v>
      </c>
      <c r="O85" s="725">
        <f>O34-O34*VLOOKUP($B$83,Параметры!$A$6:$O$12,COLUMN(Параметры!O:O),FALSE)</f>
        <v>0</v>
      </c>
      <c r="P85" s="8"/>
    </row>
    <row r="86" spans="1:16" ht="12.75" outlineLevel="1">
      <c r="A86" s="426" t="str">
        <f>CONCATENATE($B$32,B86)</f>
        <v>4403</v>
      </c>
      <c r="B86" s="427" t="s">
        <v>278</v>
      </c>
      <c r="C86" s="428" t="str">
        <f>VLOOKUP(B86,Справочники!$B:$F,3,FALSE)</f>
        <v>Дальний Восток</v>
      </c>
      <c r="D86" s="724">
        <f>D35-D35*VLOOKUP($B$83,Параметры!$A$6:$O$12,COLUMN(Параметры!D:D),FALSE)</f>
        <v>0</v>
      </c>
      <c r="E86" s="724">
        <f>E35-E35*VLOOKUP($B$83,Параметры!$A$6:$O$12,COLUMN(Параметры!E:E),FALSE)</f>
        <v>0</v>
      </c>
      <c r="F86" s="724">
        <f>F35-F35*VLOOKUP($B$83,Параметры!$A$6:$O$12,COLUMN(Параметры!F:F),FALSE)</f>
        <v>0</v>
      </c>
      <c r="G86" s="724">
        <f>G35-G35*VLOOKUP($B$83,Параметры!$A$6:$O$12,COLUMN(Параметры!G:G),FALSE)</f>
        <v>0</v>
      </c>
      <c r="H86" s="724">
        <f>H35-H35*VLOOKUP($B$83,Параметры!$A$6:$O$12,COLUMN(Параметры!H:H),FALSE)</f>
        <v>0</v>
      </c>
      <c r="I86" s="724">
        <f>I35-I35*VLOOKUP($B$83,Параметры!$A$6:$O$12,COLUMN(Параметры!I:I),FALSE)</f>
        <v>0</v>
      </c>
      <c r="J86" s="724">
        <f>J35-J35*VLOOKUP($B$83,Параметры!$A$6:$O$12,COLUMN(Параметры!J:J),FALSE)</f>
        <v>0</v>
      </c>
      <c r="K86" s="724">
        <f>K35-K35*VLOOKUP($B$83,Параметры!$A$6:$O$12,COLUMN(Параметры!K:K),FALSE)</f>
        <v>0</v>
      </c>
      <c r="L86" s="724">
        <f>L35-L35*VLOOKUP($B$83,Параметры!$A$6:$O$12,COLUMN(Параметры!L:L),FALSE)</f>
        <v>0</v>
      </c>
      <c r="M86" s="724">
        <f>M35-M35*VLOOKUP($B$83,Параметры!$A$6:$O$12,COLUMN(Параметры!M:M),FALSE)</f>
        <v>0</v>
      </c>
      <c r="N86" s="724">
        <f>N35-N35*VLOOKUP($B$83,Параметры!$A$6:$O$12,COLUMN(Параметры!N:N),FALSE)</f>
        <v>0</v>
      </c>
      <c r="O86" s="725">
        <f>O35-O35*VLOOKUP($B$83,Параметры!$A$6:$O$12,COLUMN(Параметры!O:O),FALSE)</f>
        <v>0</v>
      </c>
      <c r="P86" s="8"/>
    </row>
    <row r="87" spans="1:16" ht="12.75" outlineLevel="1">
      <c r="A87" s="426" t="str">
        <f>CONCATENATE($B$32,B87)</f>
        <v>4404</v>
      </c>
      <c r="B87" s="427" t="s">
        <v>279</v>
      </c>
      <c r="C87" s="428" t="str">
        <f>VLOOKUP(B87,Справочники!$B:$F,3,FALSE)</f>
        <v>Экспорт (СНГ и др.)</v>
      </c>
      <c r="D87" s="724">
        <f>D36-D36*VLOOKUP($B$83,Параметры!$A$6:$O$12,COLUMN(Параметры!D:D),FALSE)</f>
        <v>0</v>
      </c>
      <c r="E87" s="724">
        <f>E36-E36*VLOOKUP($B$83,Параметры!$A$6:$O$12,COLUMN(Параметры!E:E),FALSE)</f>
        <v>0</v>
      </c>
      <c r="F87" s="724">
        <f>F36-F36*VLOOKUP($B$83,Параметры!$A$6:$O$12,COLUMN(Параметры!F:F),FALSE)</f>
        <v>0</v>
      </c>
      <c r="G87" s="724">
        <f>G36-G36*VLOOKUP($B$83,Параметры!$A$6:$O$12,COLUMN(Параметры!G:G),FALSE)</f>
        <v>0</v>
      </c>
      <c r="H87" s="724">
        <f>H36-H36*VLOOKUP($B$83,Параметры!$A$6:$O$12,COLUMN(Параметры!H:H),FALSE)</f>
        <v>0</v>
      </c>
      <c r="I87" s="724">
        <f>I36-I36*VLOOKUP($B$83,Параметры!$A$6:$O$12,COLUMN(Параметры!I:I),FALSE)</f>
        <v>0</v>
      </c>
      <c r="J87" s="724">
        <f>J36-J36*VLOOKUP($B$83,Параметры!$A$6:$O$12,COLUMN(Параметры!J:J),FALSE)</f>
        <v>0</v>
      </c>
      <c r="K87" s="724">
        <f>K36-K36*VLOOKUP($B$83,Параметры!$A$6:$O$12,COLUMN(Параметры!K:K),FALSE)</f>
        <v>0</v>
      </c>
      <c r="L87" s="724">
        <f>L36-L36*VLOOKUP($B$83,Параметры!$A$6:$O$12,COLUMN(Параметры!L:L),FALSE)</f>
        <v>0</v>
      </c>
      <c r="M87" s="724">
        <f>M36-M36*VLOOKUP($B$83,Параметры!$A$6:$O$12,COLUMN(Параметры!M:M),FALSE)</f>
        <v>0</v>
      </c>
      <c r="N87" s="724">
        <f>N36-N36*VLOOKUP($B$83,Параметры!$A$6:$O$12,COLUMN(Параметры!N:N),FALSE)</f>
        <v>0</v>
      </c>
      <c r="O87" s="725">
        <f>O36-O36*VLOOKUP($B$83,Параметры!$A$6:$O$12,COLUMN(Параметры!O:O),FALSE)</f>
        <v>0</v>
      </c>
      <c r="P87" s="8"/>
    </row>
    <row r="88" spans="1:16" s="1" customFormat="1" ht="12.75">
      <c r="A88" s="420"/>
      <c r="B88" s="421" t="s">
        <v>328</v>
      </c>
      <c r="C88" s="719" t="str">
        <f>VLOOKUP(B88,Справочники!$B:$F,3,FALSE)</f>
        <v>Адаптер</v>
      </c>
      <c r="D88" s="423">
        <f aca="true" t="shared" si="20" ref="D88:O88">SUM(D89:D92)</f>
        <v>0</v>
      </c>
      <c r="E88" s="424">
        <f t="shared" si="20"/>
        <v>0</v>
      </c>
      <c r="F88" s="424">
        <f t="shared" si="20"/>
        <v>0</v>
      </c>
      <c r="G88" s="424">
        <f t="shared" si="20"/>
        <v>0</v>
      </c>
      <c r="H88" s="424">
        <f t="shared" si="20"/>
        <v>400932.20338983054</v>
      </c>
      <c r="I88" s="424">
        <f t="shared" si="20"/>
        <v>561305.0847457626</v>
      </c>
      <c r="J88" s="424">
        <f t="shared" si="20"/>
        <v>801864.4067796611</v>
      </c>
      <c r="K88" s="424">
        <f t="shared" si="20"/>
        <v>668220.3389830508</v>
      </c>
      <c r="L88" s="424">
        <f t="shared" si="20"/>
        <v>427661.0169491526</v>
      </c>
      <c r="M88" s="424">
        <f t="shared" si="20"/>
        <v>0</v>
      </c>
      <c r="N88" s="424">
        <f t="shared" si="20"/>
        <v>0</v>
      </c>
      <c r="O88" s="425">
        <f t="shared" si="20"/>
        <v>0</v>
      </c>
      <c r="P88" s="45"/>
    </row>
    <row r="89" spans="1:16" ht="12.75" outlineLevel="1">
      <c r="A89" s="426" t="str">
        <f>CONCATENATE($B$37,B89)</f>
        <v>4501</v>
      </c>
      <c r="B89" s="427" t="s">
        <v>276</v>
      </c>
      <c r="C89" s="428" t="str">
        <f>VLOOKUP(B89,Справочники!$B:$F,3,FALSE)</f>
        <v>Европейская Россия</v>
      </c>
      <c r="D89" s="724">
        <f>D38-D38*VLOOKUP($B$88,Параметры!$A$6:$O$12,COLUMN(Параметры!D:D),FALSE)</f>
        <v>0</v>
      </c>
      <c r="E89" s="724">
        <f>E38-E38*VLOOKUP($B$88,Параметры!$A$6:$O$12,COLUMN(Параметры!E:E),FALSE)</f>
        <v>0</v>
      </c>
      <c r="F89" s="724">
        <f>F38-F38*VLOOKUP($B$88,Параметры!$A$6:$O$12,COLUMN(Параметры!F:F),FALSE)</f>
        <v>0</v>
      </c>
      <c r="G89" s="724">
        <f>G38-G38*VLOOKUP($B$88,Параметры!$A$6:$O$12,COLUMN(Параметры!G:G),FALSE)</f>
        <v>0</v>
      </c>
      <c r="H89" s="724">
        <f>H38-H38*VLOOKUP($B$88,Параметры!$A$6:$O$12,COLUMN(Параметры!H:H),FALSE)</f>
        <v>400932.20338983054</v>
      </c>
      <c r="I89" s="724">
        <f>I38-I38*VLOOKUP($B$88,Параметры!$A$6:$O$12,COLUMN(Параметры!I:I),FALSE)</f>
        <v>561305.0847457626</v>
      </c>
      <c r="J89" s="724">
        <f>J38-J38*VLOOKUP($B$88,Параметры!$A$6:$O$12,COLUMN(Параметры!J:J),FALSE)</f>
        <v>801864.4067796611</v>
      </c>
      <c r="K89" s="724">
        <f>K38-K38*VLOOKUP($B$88,Параметры!$A$6:$O$12,COLUMN(Параметры!K:K),FALSE)</f>
        <v>668220.3389830508</v>
      </c>
      <c r="L89" s="724">
        <f>L38-L38*VLOOKUP($B$88,Параметры!$A$6:$O$12,COLUMN(Параметры!L:L),FALSE)</f>
        <v>427661.0169491526</v>
      </c>
      <c r="M89" s="724">
        <f>M38-M38*VLOOKUP($B$88,Параметры!$A$6:$O$12,COLUMN(Параметры!M:M),FALSE)</f>
        <v>0</v>
      </c>
      <c r="N89" s="724">
        <f>N38-N38*VLOOKUP($B$88,Параметры!$A$6:$O$12,COLUMN(Параметры!N:N),FALSE)</f>
        <v>0</v>
      </c>
      <c r="O89" s="725">
        <f>O38-O38*VLOOKUP($B$88,Параметры!$A$6:$O$12,COLUMN(Параметры!O:O),FALSE)</f>
        <v>0</v>
      </c>
      <c r="P89" s="8"/>
    </row>
    <row r="90" spans="1:16" ht="12.75" outlineLevel="1">
      <c r="A90" s="426" t="str">
        <f>CONCATENATE($B$37,B90)</f>
        <v>4502</v>
      </c>
      <c r="B90" s="427" t="s">
        <v>277</v>
      </c>
      <c r="C90" s="428" t="str">
        <f>VLOOKUP(B90,Справочники!$B:$F,3,FALSE)</f>
        <v>Сибирь</v>
      </c>
      <c r="D90" s="724">
        <f>D39-D39*VLOOKUP($B$88,Параметры!$A$6:$O$12,COLUMN(Параметры!D:D),FALSE)</f>
        <v>0</v>
      </c>
      <c r="E90" s="724">
        <f>E39-E39*VLOOKUP($B$88,Параметры!$A$6:$O$12,COLUMN(Параметры!E:E),FALSE)</f>
        <v>0</v>
      </c>
      <c r="F90" s="724">
        <f>F39-F39*VLOOKUP($B$88,Параметры!$A$6:$O$12,COLUMN(Параметры!F:F),FALSE)</f>
        <v>0</v>
      </c>
      <c r="G90" s="724">
        <f>G39-G39*VLOOKUP($B$88,Параметры!$A$6:$O$12,COLUMN(Параметры!G:G),FALSE)</f>
        <v>0</v>
      </c>
      <c r="H90" s="724">
        <f>H39-H39*VLOOKUP($B$88,Параметры!$A$6:$O$12,COLUMN(Параметры!H:H),FALSE)</f>
        <v>0</v>
      </c>
      <c r="I90" s="724">
        <f>I39-I39*VLOOKUP($B$88,Параметры!$A$6:$O$12,COLUMN(Параметры!I:I),FALSE)</f>
        <v>0</v>
      </c>
      <c r="J90" s="724">
        <f>J39-J39*VLOOKUP($B$88,Параметры!$A$6:$O$12,COLUMN(Параметры!J:J),FALSE)</f>
        <v>0</v>
      </c>
      <c r="K90" s="724">
        <f>K39-K39*VLOOKUP($B$88,Параметры!$A$6:$O$12,COLUMN(Параметры!K:K),FALSE)</f>
        <v>0</v>
      </c>
      <c r="L90" s="724">
        <f>L39-L39*VLOOKUP($B$88,Параметры!$A$6:$O$12,COLUMN(Параметры!L:L),FALSE)</f>
        <v>0</v>
      </c>
      <c r="M90" s="724">
        <f>M39-M39*VLOOKUP($B$88,Параметры!$A$6:$O$12,COLUMN(Параметры!M:M),FALSE)</f>
        <v>0</v>
      </c>
      <c r="N90" s="724">
        <f>N39-N39*VLOOKUP($B$88,Параметры!$A$6:$O$12,COLUMN(Параметры!N:N),FALSE)</f>
        <v>0</v>
      </c>
      <c r="O90" s="725">
        <f>O39-O39*VLOOKUP($B$88,Параметры!$A$6:$O$12,COLUMN(Параметры!O:O),FALSE)</f>
        <v>0</v>
      </c>
      <c r="P90" s="8"/>
    </row>
    <row r="91" spans="1:16" ht="12.75" outlineLevel="1">
      <c r="A91" s="426" t="str">
        <f>CONCATENATE($B$37,B91)</f>
        <v>4503</v>
      </c>
      <c r="B91" s="427" t="s">
        <v>278</v>
      </c>
      <c r="C91" s="428" t="str">
        <f>VLOOKUP(B91,Справочники!$B:$F,3,FALSE)</f>
        <v>Дальний Восток</v>
      </c>
      <c r="D91" s="724">
        <f>D40-D40*VLOOKUP($B$88,Параметры!$A$6:$O$12,COLUMN(Параметры!D:D),FALSE)</f>
        <v>0</v>
      </c>
      <c r="E91" s="724">
        <f>E40-E40*VLOOKUP($B$88,Параметры!$A$6:$O$12,COLUMN(Параметры!E:E),FALSE)</f>
        <v>0</v>
      </c>
      <c r="F91" s="724">
        <f>F40-F40*VLOOKUP($B$88,Параметры!$A$6:$O$12,COLUMN(Параметры!F:F),FALSE)</f>
        <v>0</v>
      </c>
      <c r="G91" s="724">
        <f>G40-G40*VLOOKUP($B$88,Параметры!$A$6:$O$12,COLUMN(Параметры!G:G),FALSE)</f>
        <v>0</v>
      </c>
      <c r="H91" s="724">
        <f>H40-H40*VLOOKUP($B$88,Параметры!$A$6:$O$12,COLUMN(Параметры!H:H),FALSE)</f>
        <v>0</v>
      </c>
      <c r="I91" s="724">
        <f>I40-I40*VLOOKUP($B$88,Параметры!$A$6:$O$12,COLUMN(Параметры!I:I),FALSE)</f>
        <v>0</v>
      </c>
      <c r="J91" s="724">
        <f>J40-J40*VLOOKUP($B$88,Параметры!$A$6:$O$12,COLUMN(Параметры!J:J),FALSE)</f>
        <v>0</v>
      </c>
      <c r="K91" s="724">
        <f>K40-K40*VLOOKUP($B$88,Параметры!$A$6:$O$12,COLUMN(Параметры!K:K),FALSE)</f>
        <v>0</v>
      </c>
      <c r="L91" s="724">
        <f>L40-L40*VLOOKUP($B$88,Параметры!$A$6:$O$12,COLUMN(Параметры!L:L),FALSE)</f>
        <v>0</v>
      </c>
      <c r="M91" s="724">
        <f>M40-M40*VLOOKUP($B$88,Параметры!$A$6:$O$12,COLUMN(Параметры!M:M),FALSE)</f>
        <v>0</v>
      </c>
      <c r="N91" s="724">
        <f>N40-N40*VLOOKUP($B$88,Параметры!$A$6:$O$12,COLUMN(Параметры!N:N),FALSE)</f>
        <v>0</v>
      </c>
      <c r="O91" s="725">
        <f>O40-O40*VLOOKUP($B$88,Параметры!$A$6:$O$12,COLUMN(Параметры!O:O),FALSE)</f>
        <v>0</v>
      </c>
      <c r="P91" s="8"/>
    </row>
    <row r="92" spans="1:16" ht="12.75" outlineLevel="1">
      <c r="A92" s="426" t="str">
        <f>CONCATENATE($B$37,B92)</f>
        <v>4504</v>
      </c>
      <c r="B92" s="427" t="s">
        <v>279</v>
      </c>
      <c r="C92" s="428" t="str">
        <f>VLOOKUP(B92,Справочники!$B:$F,3,FALSE)</f>
        <v>Экспорт (СНГ и др.)</v>
      </c>
      <c r="D92" s="724">
        <f>D41-D41*VLOOKUP($B$88,Параметры!$A$6:$O$12,COLUMN(Параметры!D:D),FALSE)</f>
        <v>0</v>
      </c>
      <c r="E92" s="724">
        <f>E41-E41*VLOOKUP($B$88,Параметры!$A$6:$O$12,COLUMN(Параметры!E:E),FALSE)</f>
        <v>0</v>
      </c>
      <c r="F92" s="724">
        <f>F41-F41*VLOOKUP($B$88,Параметры!$A$6:$O$12,COLUMN(Параметры!F:F),FALSE)</f>
        <v>0</v>
      </c>
      <c r="G92" s="724">
        <f>G41-G41*VLOOKUP($B$88,Параметры!$A$6:$O$12,COLUMN(Параметры!G:G),FALSE)</f>
        <v>0</v>
      </c>
      <c r="H92" s="724">
        <f>H41-H41*VLOOKUP($B$88,Параметры!$A$6:$O$12,COLUMN(Параметры!H:H),FALSE)</f>
        <v>0</v>
      </c>
      <c r="I92" s="724">
        <f>I41-I41*VLOOKUP($B$88,Параметры!$A$6:$O$12,COLUMN(Параметры!I:I),FALSE)</f>
        <v>0</v>
      </c>
      <c r="J92" s="724">
        <f>J41-J41*VLOOKUP($B$88,Параметры!$A$6:$O$12,COLUMN(Параметры!J:J),FALSE)</f>
        <v>0</v>
      </c>
      <c r="K92" s="724">
        <f>K41-K41*VLOOKUP($B$88,Параметры!$A$6:$O$12,COLUMN(Параметры!K:K),FALSE)</f>
        <v>0</v>
      </c>
      <c r="L92" s="724">
        <f>L41-L41*VLOOKUP($B$88,Параметры!$A$6:$O$12,COLUMN(Параметры!L:L),FALSE)</f>
        <v>0</v>
      </c>
      <c r="M92" s="724">
        <f>M41-M41*VLOOKUP($B$88,Параметры!$A$6:$O$12,COLUMN(Параметры!M:M),FALSE)</f>
        <v>0</v>
      </c>
      <c r="N92" s="724">
        <f>N41-N41*VLOOKUP($B$88,Параметры!$A$6:$O$12,COLUMN(Параметры!N:N),FALSE)</f>
        <v>0</v>
      </c>
      <c r="O92" s="725">
        <f>O41-O41*VLOOKUP($B$88,Параметры!$A$6:$O$12,COLUMN(Параметры!O:O),FALSE)</f>
        <v>0</v>
      </c>
      <c r="P92" s="8"/>
    </row>
    <row r="93" spans="1:16" s="1" customFormat="1" ht="12.75">
      <c r="A93" s="420"/>
      <c r="B93" s="421" t="s">
        <v>280</v>
      </c>
      <c r="C93" s="1092" t="str">
        <f>VLOOKUP(B93,Справочники!$B:$F,3,FALSE)</f>
        <v>Продукт N - (Гос. Инвестиции)</v>
      </c>
      <c r="D93" s="423">
        <f aca="true" t="shared" si="21" ref="D93:O93">SUM(D94:D97)</f>
        <v>0</v>
      </c>
      <c r="E93" s="424">
        <f t="shared" si="21"/>
        <v>0</v>
      </c>
      <c r="F93" s="424">
        <f t="shared" si="21"/>
        <v>0</v>
      </c>
      <c r="G93" s="424">
        <f t="shared" si="21"/>
        <v>0</v>
      </c>
      <c r="H93" s="424">
        <f t="shared" si="21"/>
        <v>0</v>
      </c>
      <c r="I93" s="424">
        <f t="shared" si="21"/>
        <v>0</v>
      </c>
      <c r="J93" s="424">
        <f t="shared" si="21"/>
        <v>0</v>
      </c>
      <c r="K93" s="424">
        <f t="shared" si="21"/>
        <v>0</v>
      </c>
      <c r="L93" s="424">
        <f t="shared" si="21"/>
        <v>0</v>
      </c>
      <c r="M93" s="424">
        <f t="shared" si="21"/>
        <v>0</v>
      </c>
      <c r="N93" s="424">
        <f t="shared" si="21"/>
        <v>0</v>
      </c>
      <c r="O93" s="425">
        <f t="shared" si="21"/>
        <v>0</v>
      </c>
      <c r="P93" s="45"/>
    </row>
    <row r="94" spans="1:16" ht="12.75" outlineLevel="1">
      <c r="A94" s="426" t="str">
        <f>CONCATENATE($B$42,B94)</f>
        <v>4601</v>
      </c>
      <c r="B94" s="427" t="s">
        <v>276</v>
      </c>
      <c r="C94" s="428" t="str">
        <f>VLOOKUP(B94,Справочники!$B:$F,3,FALSE)</f>
        <v>Европейская Россия</v>
      </c>
      <c r="D94" s="724">
        <f>D43-D43*VLOOKUP($B$93,Параметры!$A$6:$O$12,COLUMN(Параметры!D:D),FALSE)</f>
        <v>0</v>
      </c>
      <c r="E94" s="724">
        <f>E43-E43*VLOOKUP($B$93,Параметры!$A$6:$O$12,COLUMN(Параметры!E:E),FALSE)</f>
        <v>0</v>
      </c>
      <c r="F94" s="724">
        <f>F43-F43*VLOOKUP($B$93,Параметры!$A$6:$O$12,COLUMN(Параметры!F:F),FALSE)</f>
        <v>0</v>
      </c>
      <c r="G94" s="724">
        <f>G43-G43*VLOOKUP($B$93,Параметры!$A$6:$O$12,COLUMN(Параметры!G:G),FALSE)</f>
        <v>0</v>
      </c>
      <c r="H94" s="724">
        <f>H43-H43*VLOOKUP($B$93,Параметры!$A$6:$O$12,COLUMN(Параметры!H:H),FALSE)</f>
        <v>0</v>
      </c>
      <c r="I94" s="724">
        <f>I43-I43*VLOOKUP($B$93,Параметры!$A$6:$O$12,COLUMN(Параметры!I:I),FALSE)</f>
        <v>0</v>
      </c>
      <c r="J94" s="724">
        <f>J43-J43*VLOOKUP($B$93,Параметры!$A$6:$O$12,COLUMN(Параметры!J:J),FALSE)</f>
        <v>0</v>
      </c>
      <c r="K94" s="724">
        <f>K43-K43*VLOOKUP($B$93,Параметры!$A$6:$O$12,COLUMN(Параметры!K:K),FALSE)</f>
        <v>0</v>
      </c>
      <c r="L94" s="724">
        <f>L43-L43*VLOOKUP($B$93,Параметры!$A$6:$O$12,COLUMN(Параметры!L:L),FALSE)</f>
        <v>0</v>
      </c>
      <c r="M94" s="724">
        <f>M43-M43*VLOOKUP($B$93,Параметры!$A$6:$O$12,COLUMN(Параметры!M:M),FALSE)</f>
        <v>0</v>
      </c>
      <c r="N94" s="724">
        <f>N43-N43*VLOOKUP($B$93,Параметры!$A$6:$O$12,COLUMN(Параметры!N:N),FALSE)</f>
        <v>0</v>
      </c>
      <c r="O94" s="725">
        <f>O43-O43*VLOOKUP($B$93,Параметры!$A$6:$O$12,COLUMN(Параметры!O:O),FALSE)</f>
        <v>0</v>
      </c>
      <c r="P94" s="8"/>
    </row>
    <row r="95" spans="1:16" ht="12.75" outlineLevel="1">
      <c r="A95" s="426" t="str">
        <f>CONCATENATE($B$42,B95)</f>
        <v>4602</v>
      </c>
      <c r="B95" s="427" t="s">
        <v>277</v>
      </c>
      <c r="C95" s="428" t="str">
        <f>VLOOKUP(B95,Справочники!$B:$F,3,FALSE)</f>
        <v>Сибирь</v>
      </c>
      <c r="D95" s="724">
        <f>D44-D44*VLOOKUP($B$93,Параметры!$A$6:$O$12,COLUMN(Параметры!D:D),FALSE)</f>
        <v>0</v>
      </c>
      <c r="E95" s="724">
        <f>E44-E44*VLOOKUP($B$93,Параметры!$A$6:$O$12,COLUMN(Параметры!E:E),FALSE)</f>
        <v>0</v>
      </c>
      <c r="F95" s="724">
        <f>F44-F44*VLOOKUP($B$93,Параметры!$A$6:$O$12,COLUMN(Параметры!F:F),FALSE)</f>
        <v>0</v>
      </c>
      <c r="G95" s="724">
        <f>G44-G44*VLOOKUP($B$93,Параметры!$A$6:$O$12,COLUMN(Параметры!G:G),FALSE)</f>
        <v>0</v>
      </c>
      <c r="H95" s="724">
        <f>H44-H44*VLOOKUP($B$93,Параметры!$A$6:$O$12,COLUMN(Параметры!H:H),FALSE)</f>
        <v>0</v>
      </c>
      <c r="I95" s="724">
        <f>I44-I44*VLOOKUP($B$93,Параметры!$A$6:$O$12,COLUMN(Параметры!I:I),FALSE)</f>
        <v>0</v>
      </c>
      <c r="J95" s="724">
        <f>J44-J44*VLOOKUP($B$93,Параметры!$A$6:$O$12,COLUMN(Параметры!J:J),FALSE)</f>
        <v>0</v>
      </c>
      <c r="K95" s="724">
        <f>K44-K44*VLOOKUP($B$93,Параметры!$A$6:$O$12,COLUMN(Параметры!K:K),FALSE)</f>
        <v>0</v>
      </c>
      <c r="L95" s="724">
        <f>L44-L44*VLOOKUP($B$93,Параметры!$A$6:$O$12,COLUMN(Параметры!L:L),FALSE)</f>
        <v>0</v>
      </c>
      <c r="M95" s="724">
        <f>M44-M44*VLOOKUP($B$93,Параметры!$A$6:$O$12,COLUMN(Параметры!M:M),FALSE)</f>
        <v>0</v>
      </c>
      <c r="N95" s="724">
        <f>N44-N44*VLOOKUP($B$93,Параметры!$A$6:$O$12,COLUMN(Параметры!N:N),FALSE)</f>
        <v>0</v>
      </c>
      <c r="O95" s="725">
        <f>O44-O44*VLOOKUP($B$93,Параметры!$A$6:$O$12,COLUMN(Параметры!O:O),FALSE)</f>
        <v>0</v>
      </c>
      <c r="P95" s="8"/>
    </row>
    <row r="96" spans="1:16" ht="12.75" outlineLevel="1">
      <c r="A96" s="426" t="str">
        <f>CONCATENATE($B$42,B96)</f>
        <v>4603</v>
      </c>
      <c r="B96" s="427" t="s">
        <v>278</v>
      </c>
      <c r="C96" s="428" t="str">
        <f>VLOOKUP(B96,Справочники!$B:$F,3,FALSE)</f>
        <v>Дальний Восток</v>
      </c>
      <c r="D96" s="724">
        <f>D45-D45*VLOOKUP($B$93,Параметры!$A$6:$O$12,COLUMN(Параметры!D:D),FALSE)</f>
        <v>0</v>
      </c>
      <c r="E96" s="724">
        <f>E45-E45*VLOOKUP($B$93,Параметры!$A$6:$O$12,COLUMN(Параметры!E:E),FALSE)</f>
        <v>0</v>
      </c>
      <c r="F96" s="724">
        <f>F45-F45*VLOOKUP($B$93,Параметры!$A$6:$O$12,COLUMN(Параметры!F:F),FALSE)</f>
        <v>0</v>
      </c>
      <c r="G96" s="724">
        <f>G45-G45*VLOOKUP($B$93,Параметры!$A$6:$O$12,COLUMN(Параметры!G:G),FALSE)</f>
        <v>0</v>
      </c>
      <c r="H96" s="724">
        <f>H45-H45*VLOOKUP($B$93,Параметры!$A$6:$O$12,COLUMN(Параметры!H:H),FALSE)</f>
        <v>0</v>
      </c>
      <c r="I96" s="724">
        <f>I45-I45*VLOOKUP($B$93,Параметры!$A$6:$O$12,COLUMN(Параметры!I:I),FALSE)</f>
        <v>0</v>
      </c>
      <c r="J96" s="724">
        <f>J45-J45*VLOOKUP($B$93,Параметры!$A$6:$O$12,COLUMN(Параметры!J:J),FALSE)</f>
        <v>0</v>
      </c>
      <c r="K96" s="724">
        <f>K45-K45*VLOOKUP($B$93,Параметры!$A$6:$O$12,COLUMN(Параметры!K:K),FALSE)</f>
        <v>0</v>
      </c>
      <c r="L96" s="724">
        <f>L45-L45*VLOOKUP($B$93,Параметры!$A$6:$O$12,COLUMN(Параметры!L:L),FALSE)</f>
        <v>0</v>
      </c>
      <c r="M96" s="724">
        <f>M45-M45*VLOOKUP($B$93,Параметры!$A$6:$O$12,COLUMN(Параметры!M:M),FALSE)</f>
        <v>0</v>
      </c>
      <c r="N96" s="724">
        <f>N45-N45*VLOOKUP($B$93,Параметры!$A$6:$O$12,COLUMN(Параметры!N:N),FALSE)</f>
        <v>0</v>
      </c>
      <c r="O96" s="725">
        <f>O45-O45*VLOOKUP($B$93,Параметры!$A$6:$O$12,COLUMN(Параметры!O:O),FALSE)</f>
        <v>0</v>
      </c>
      <c r="P96" s="8"/>
    </row>
    <row r="97" spans="1:16" ht="12.75" outlineLevel="1">
      <c r="A97" s="426" t="str">
        <f>CONCATENATE($B$42,B97)</f>
        <v>4604</v>
      </c>
      <c r="B97" s="427" t="s">
        <v>279</v>
      </c>
      <c r="C97" s="428" t="str">
        <f>VLOOKUP(B97,Справочники!$B:$F,3,FALSE)</f>
        <v>Экспорт (СНГ и др.)</v>
      </c>
      <c r="D97" s="724">
        <f>D46-D46*VLOOKUP($B$93,Параметры!$A$6:$O$12,COLUMN(Параметры!D:D),FALSE)</f>
        <v>0</v>
      </c>
      <c r="E97" s="724">
        <f>E46-E46*VLOOKUP($B$93,Параметры!$A$6:$O$12,COLUMN(Параметры!E:E),FALSE)</f>
        <v>0</v>
      </c>
      <c r="F97" s="724">
        <f>F46-F46*VLOOKUP($B$93,Параметры!$A$6:$O$12,COLUMN(Параметры!F:F),FALSE)</f>
        <v>0</v>
      </c>
      <c r="G97" s="724">
        <f>G46-G46*VLOOKUP($B$93,Параметры!$A$6:$O$12,COLUMN(Параметры!G:G),FALSE)</f>
        <v>0</v>
      </c>
      <c r="H97" s="724">
        <f>H46-H46*VLOOKUP($B$93,Параметры!$A$6:$O$12,COLUMN(Параметры!H:H),FALSE)</f>
        <v>0</v>
      </c>
      <c r="I97" s="724">
        <f>I46-I46*VLOOKUP($B$93,Параметры!$A$6:$O$12,COLUMN(Параметры!I:I),FALSE)</f>
        <v>0</v>
      </c>
      <c r="J97" s="724">
        <f>J46-J46*VLOOKUP($B$93,Параметры!$A$6:$O$12,COLUMN(Параметры!J:J),FALSE)</f>
        <v>0</v>
      </c>
      <c r="K97" s="724">
        <f>K46-K46*VLOOKUP($B$93,Параметры!$A$6:$O$12,COLUMN(Параметры!K:K),FALSE)</f>
        <v>0</v>
      </c>
      <c r="L97" s="724">
        <f>L46-L46*VLOOKUP($B$93,Параметры!$A$6:$O$12,COLUMN(Параметры!L:L),FALSE)</f>
        <v>0</v>
      </c>
      <c r="M97" s="724">
        <f>M46-M46*VLOOKUP($B$93,Параметры!$A$6:$O$12,COLUMN(Параметры!M:M),FALSE)</f>
        <v>0</v>
      </c>
      <c r="N97" s="724">
        <f>N46-N46*VLOOKUP($B$93,Параметры!$A$6:$O$12,COLUMN(Параметры!N:N),FALSE)</f>
        <v>0</v>
      </c>
      <c r="O97" s="725">
        <f>O46-O46*VLOOKUP($B$93,Параметры!$A$6:$O$12,COLUMN(Параметры!O:O),FALSE)</f>
        <v>0</v>
      </c>
      <c r="P97" s="8"/>
    </row>
    <row r="98" spans="1:16" s="1" customFormat="1" ht="12.75">
      <c r="A98" s="3"/>
      <c r="B98" s="463"/>
      <c r="C98" s="482" t="s">
        <v>217</v>
      </c>
      <c r="D98" s="538">
        <f aca="true" t="shared" si="22" ref="D98:O98">SUM(D99:D102)</f>
        <v>599570</v>
      </c>
      <c r="E98" s="465">
        <f t="shared" si="22"/>
        <v>808755</v>
      </c>
      <c r="F98" s="465">
        <f t="shared" si="22"/>
        <v>903555</v>
      </c>
      <c r="G98" s="465">
        <f t="shared" si="22"/>
        <v>944355</v>
      </c>
      <c r="H98" s="465">
        <f t="shared" si="22"/>
        <v>6545932.203389831</v>
      </c>
      <c r="I98" s="465">
        <f t="shared" si="22"/>
        <v>12130305.084745763</v>
      </c>
      <c r="J98" s="465">
        <f t="shared" si="22"/>
        <v>18676864.40677966</v>
      </c>
      <c r="K98" s="465">
        <f t="shared" si="22"/>
        <v>668220.3389830508</v>
      </c>
      <c r="L98" s="465">
        <f t="shared" si="22"/>
        <v>427661.0169491526</v>
      </c>
      <c r="M98" s="465">
        <f t="shared" si="22"/>
        <v>0</v>
      </c>
      <c r="N98" s="465">
        <f t="shared" si="22"/>
        <v>0</v>
      </c>
      <c r="O98" s="466">
        <f t="shared" si="22"/>
        <v>0</v>
      </c>
      <c r="P98" s="45"/>
    </row>
    <row r="99" spans="1:16" ht="12.75" outlineLevel="1">
      <c r="A99" s="621"/>
      <c r="B99" s="427" t="s">
        <v>276</v>
      </c>
      <c r="C99" s="428" t="str">
        <f>VLOOKUP(B99,Справочники!$B:$F,3,FALSE)</f>
        <v>Европейская Россия</v>
      </c>
      <c r="D99" s="605">
        <f aca="true" t="shared" si="23" ref="D99:O99">SUMIF($B$64:$B$97,$B99,D$64:D$97)</f>
        <v>599570</v>
      </c>
      <c r="E99" s="468">
        <f t="shared" si="23"/>
        <v>808755</v>
      </c>
      <c r="F99" s="468">
        <f t="shared" si="23"/>
        <v>903555</v>
      </c>
      <c r="G99" s="468">
        <f t="shared" si="23"/>
        <v>944355</v>
      </c>
      <c r="H99" s="468">
        <f t="shared" si="23"/>
        <v>6545932.203389831</v>
      </c>
      <c r="I99" s="468">
        <f t="shared" si="23"/>
        <v>12130305.084745763</v>
      </c>
      <c r="J99" s="468">
        <f t="shared" si="23"/>
        <v>18676864.40677966</v>
      </c>
      <c r="K99" s="468">
        <f t="shared" si="23"/>
        <v>668220.3389830508</v>
      </c>
      <c r="L99" s="468">
        <f t="shared" si="23"/>
        <v>427661.0169491526</v>
      </c>
      <c r="M99" s="468">
        <f t="shared" si="23"/>
        <v>0</v>
      </c>
      <c r="N99" s="468">
        <f t="shared" si="23"/>
        <v>0</v>
      </c>
      <c r="O99" s="622">
        <f t="shared" si="23"/>
        <v>0</v>
      </c>
      <c r="P99" s="8"/>
    </row>
    <row r="100" spans="1:16" ht="12.75" outlineLevel="1">
      <c r="A100" s="720"/>
      <c r="B100" s="427" t="s">
        <v>277</v>
      </c>
      <c r="C100" s="428" t="str">
        <f>VLOOKUP(B100,Справочники!$B:$F,3,FALSE)</f>
        <v>Сибирь</v>
      </c>
      <c r="D100" s="456">
        <f aca="true" t="shared" si="24" ref="D100:O101">SUMIF($B$64:$B$97,$B100,D$64:D$97)</f>
        <v>0</v>
      </c>
      <c r="E100" s="721">
        <f t="shared" si="24"/>
        <v>0</v>
      </c>
      <c r="F100" s="721">
        <f t="shared" si="24"/>
        <v>0</v>
      </c>
      <c r="G100" s="721">
        <f t="shared" si="24"/>
        <v>0</v>
      </c>
      <c r="H100" s="721">
        <f t="shared" si="24"/>
        <v>0</v>
      </c>
      <c r="I100" s="721">
        <f t="shared" si="24"/>
        <v>0</v>
      </c>
      <c r="J100" s="721">
        <f t="shared" si="24"/>
        <v>0</v>
      </c>
      <c r="K100" s="721">
        <f t="shared" si="24"/>
        <v>0</v>
      </c>
      <c r="L100" s="721">
        <f t="shared" si="24"/>
        <v>0</v>
      </c>
      <c r="M100" s="721">
        <f t="shared" si="24"/>
        <v>0</v>
      </c>
      <c r="N100" s="721">
        <f t="shared" si="24"/>
        <v>0</v>
      </c>
      <c r="O100" s="722">
        <f t="shared" si="24"/>
        <v>0</v>
      </c>
      <c r="P100" s="8"/>
    </row>
    <row r="101" spans="1:16" ht="12.75" outlineLevel="1">
      <c r="A101" s="720"/>
      <c r="B101" s="427" t="s">
        <v>278</v>
      </c>
      <c r="C101" s="428" t="str">
        <f>VLOOKUP(B101,Справочники!$B:$F,3,FALSE)</f>
        <v>Дальний Восток</v>
      </c>
      <c r="D101" s="456">
        <f t="shared" si="24"/>
        <v>0</v>
      </c>
      <c r="E101" s="721">
        <f t="shared" si="24"/>
        <v>0</v>
      </c>
      <c r="F101" s="721">
        <f t="shared" si="24"/>
        <v>0</v>
      </c>
      <c r="G101" s="721">
        <f t="shared" si="24"/>
        <v>0</v>
      </c>
      <c r="H101" s="721">
        <f t="shared" si="24"/>
        <v>0</v>
      </c>
      <c r="I101" s="721">
        <f t="shared" si="24"/>
        <v>0</v>
      </c>
      <c r="J101" s="721">
        <f t="shared" si="24"/>
        <v>0</v>
      </c>
      <c r="K101" s="721">
        <f t="shared" si="24"/>
        <v>0</v>
      </c>
      <c r="L101" s="721">
        <f t="shared" si="24"/>
        <v>0</v>
      </c>
      <c r="M101" s="721">
        <f t="shared" si="24"/>
        <v>0</v>
      </c>
      <c r="N101" s="721">
        <f t="shared" si="24"/>
        <v>0</v>
      </c>
      <c r="O101" s="722">
        <f t="shared" si="24"/>
        <v>0</v>
      </c>
      <c r="P101" s="8"/>
    </row>
    <row r="102" spans="1:16" ht="12.75" outlineLevel="1">
      <c r="A102" s="432"/>
      <c r="B102" s="427" t="s">
        <v>279</v>
      </c>
      <c r="C102" s="433" t="str">
        <f>VLOOKUP(B102,Справочники!$B:$F,3,FALSE)</f>
        <v>Экспорт (СНГ и др.)</v>
      </c>
      <c r="D102" s="457">
        <f aca="true" t="shared" si="25" ref="D102:O102">SUMIF($B$64:$B$97,$B102,D$64:D$97)</f>
        <v>0</v>
      </c>
      <c r="E102" s="442">
        <f t="shared" si="25"/>
        <v>0</v>
      </c>
      <c r="F102" s="442">
        <f t="shared" si="25"/>
        <v>0</v>
      </c>
      <c r="G102" s="442">
        <f t="shared" si="25"/>
        <v>0</v>
      </c>
      <c r="H102" s="442">
        <f t="shared" si="25"/>
        <v>0</v>
      </c>
      <c r="I102" s="442">
        <f t="shared" si="25"/>
        <v>0</v>
      </c>
      <c r="J102" s="442">
        <f t="shared" si="25"/>
        <v>0</v>
      </c>
      <c r="K102" s="442">
        <f t="shared" si="25"/>
        <v>0</v>
      </c>
      <c r="L102" s="442">
        <f t="shared" si="25"/>
        <v>0</v>
      </c>
      <c r="M102" s="442">
        <f t="shared" si="25"/>
        <v>0</v>
      </c>
      <c r="N102" s="442">
        <f t="shared" si="25"/>
        <v>0</v>
      </c>
      <c r="O102" s="444">
        <f t="shared" si="25"/>
        <v>0</v>
      </c>
      <c r="P102" s="8"/>
    </row>
    <row r="103" spans="3:15" s="36" customFormat="1" ht="12.75">
      <c r="C103" s="67"/>
      <c r="D103" s="436"/>
      <c r="E103" s="436"/>
      <c r="F103" s="436"/>
      <c r="G103" s="436"/>
      <c r="H103" s="436"/>
      <c r="I103" s="436"/>
      <c r="J103" s="436"/>
      <c r="K103" s="436"/>
      <c r="L103" s="436"/>
      <c r="M103" s="436"/>
      <c r="N103" s="436"/>
      <c r="O103" s="436"/>
    </row>
    <row r="104" spans="3:15" s="36" customFormat="1" ht="12.75">
      <c r="C104" s="67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6"/>
      <c r="O104" s="436"/>
    </row>
    <row r="105" spans="3:15" s="36" customFormat="1" ht="12.75">
      <c r="C105" s="6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</row>
    <row r="108" spans="2:19" ht="30" customHeight="1" hidden="1">
      <c r="B108" s="1111" t="s">
        <v>69</v>
      </c>
      <c r="C108" s="1111"/>
      <c r="D108" s="1111"/>
      <c r="E108" s="1111"/>
      <c r="F108" s="1111"/>
      <c r="G108" s="1111"/>
      <c r="H108" s="1111"/>
      <c r="I108" s="1111"/>
      <c r="J108" s="1111"/>
      <c r="K108" s="1111"/>
      <c r="L108" s="1111"/>
      <c r="M108" s="1111"/>
      <c r="N108" s="1111"/>
      <c r="O108" s="1111"/>
      <c r="P108" s="357"/>
      <c r="Q108" s="357"/>
      <c r="R108" s="357"/>
      <c r="S108" s="357"/>
    </row>
    <row r="109" spans="3:15" ht="12.75" customHeight="1" hidden="1"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</row>
    <row r="110" spans="3:16" s="102" customFormat="1" ht="13.5" hidden="1">
      <c r="C110" s="97" t="s">
        <v>218</v>
      </c>
      <c r="D110" s="97" t="s">
        <v>188</v>
      </c>
      <c r="E110" s="97"/>
      <c r="G110" s="97"/>
      <c r="H110" s="97"/>
      <c r="I110" s="97"/>
      <c r="P110" s="2"/>
    </row>
    <row r="111" spans="3:9" s="102" customFormat="1" ht="13.5" hidden="1">
      <c r="C111" s="97" t="s">
        <v>219</v>
      </c>
      <c r="D111" s="97"/>
      <c r="E111" s="97"/>
      <c r="G111" s="97"/>
      <c r="H111" s="97"/>
      <c r="I111" s="97"/>
    </row>
    <row r="112" spans="3:9" s="102" customFormat="1" ht="13.5" hidden="1">
      <c r="C112" s="97" t="s">
        <v>220</v>
      </c>
      <c r="D112" s="97" t="s">
        <v>187</v>
      </c>
      <c r="E112" s="97"/>
      <c r="G112" s="97"/>
      <c r="H112" s="97"/>
      <c r="I112" s="97"/>
    </row>
    <row r="113" spans="3:15" ht="12.75" customHeight="1" hidden="1">
      <c r="C113" s="434"/>
      <c r="D113" s="434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</row>
    <row r="114" spans="1:16" s="12" customFormat="1" ht="12.75" hidden="1">
      <c r="A114" s="419" t="s">
        <v>117</v>
      </c>
      <c r="B114" s="419" t="s">
        <v>264</v>
      </c>
      <c r="C114" s="147" t="s">
        <v>186</v>
      </c>
      <c r="D114" s="356" t="e">
        <f>#REF!</f>
        <v>#REF!</v>
      </c>
      <c r="E114" s="356" t="e">
        <f>#REF!</f>
        <v>#REF!</v>
      </c>
      <c r="F114" s="356" t="e">
        <f>#REF!</f>
        <v>#REF!</v>
      </c>
      <c r="G114" s="356" t="e">
        <f>#REF!</f>
        <v>#REF!</v>
      </c>
      <c r="H114" s="356" t="e">
        <f>#REF!</f>
        <v>#REF!</v>
      </c>
      <c r="I114" s="356" t="e">
        <f>#REF!</f>
        <v>#REF!</v>
      </c>
      <c r="J114" s="356" t="e">
        <f>#REF!</f>
        <v>#REF!</v>
      </c>
      <c r="K114" s="356" t="e">
        <f>#REF!</f>
        <v>#REF!</v>
      </c>
      <c r="L114" s="356" t="e">
        <f>#REF!</f>
        <v>#REF!</v>
      </c>
      <c r="M114" s="356" t="e">
        <f>#REF!</f>
        <v>#REF!</v>
      </c>
      <c r="N114" s="356" t="e">
        <f>#REF!</f>
        <v>#REF!</v>
      </c>
      <c r="O114" s="356" t="e">
        <f>#REF!</f>
        <v>#REF!</v>
      </c>
      <c r="P114" s="102"/>
    </row>
    <row r="115" spans="1:16" s="93" customFormat="1" ht="12.75" hidden="1">
      <c r="A115" s="355">
        <v>0</v>
      </c>
      <c r="B115" s="11">
        <v>1</v>
      </c>
      <c r="C115" s="11">
        <f aca="true" t="shared" si="26" ref="C115:O115">B115+1</f>
        <v>2</v>
      </c>
      <c r="D115" s="11">
        <f t="shared" si="26"/>
        <v>3</v>
      </c>
      <c r="E115" s="11">
        <f t="shared" si="26"/>
        <v>4</v>
      </c>
      <c r="F115" s="11">
        <f t="shared" si="26"/>
        <v>5</v>
      </c>
      <c r="G115" s="11">
        <f t="shared" si="26"/>
        <v>6</v>
      </c>
      <c r="H115" s="11">
        <f t="shared" si="26"/>
        <v>7</v>
      </c>
      <c r="I115" s="11">
        <f t="shared" si="26"/>
        <v>8</v>
      </c>
      <c r="J115" s="11">
        <f t="shared" si="26"/>
        <v>9</v>
      </c>
      <c r="K115" s="11">
        <f t="shared" si="26"/>
        <v>10</v>
      </c>
      <c r="L115" s="11">
        <f t="shared" si="26"/>
        <v>11</v>
      </c>
      <c r="M115" s="11">
        <f t="shared" si="26"/>
        <v>12</v>
      </c>
      <c r="N115" s="11">
        <f t="shared" si="26"/>
        <v>13</v>
      </c>
      <c r="O115" s="11">
        <f t="shared" si="26"/>
        <v>14</v>
      </c>
      <c r="P115" s="102"/>
    </row>
    <row r="116" spans="1:16" s="1" customFormat="1" ht="12.75" hidden="1">
      <c r="A116" s="420"/>
      <c r="B116" s="477" t="s">
        <v>323</v>
      </c>
      <c r="C116" s="443" t="str">
        <f>VLOOKUP(B116,Справочники!$B:$F,3,FALSE)</f>
        <v>Специализированные комплексы</v>
      </c>
      <c r="D116" s="529">
        <v>11</v>
      </c>
      <c r="E116" s="530">
        <v>11</v>
      </c>
      <c r="F116" s="530">
        <v>11</v>
      </c>
      <c r="G116" s="530">
        <v>9</v>
      </c>
      <c r="H116" s="530">
        <v>10</v>
      </c>
      <c r="I116" s="530">
        <v>10</v>
      </c>
      <c r="J116" s="530">
        <v>11</v>
      </c>
      <c r="K116" s="530">
        <v>11</v>
      </c>
      <c r="L116" s="530">
        <v>11</v>
      </c>
      <c r="M116" s="530">
        <v>11</v>
      </c>
      <c r="N116" s="530">
        <v>11</v>
      </c>
      <c r="O116" s="531">
        <v>11</v>
      </c>
      <c r="P116" s="45"/>
    </row>
    <row r="117" spans="1:16" s="1" customFormat="1" ht="12.75" hidden="1">
      <c r="A117" s="48"/>
      <c r="B117" s="478" t="s">
        <v>324</v>
      </c>
      <c r="C117" s="480" t="str">
        <f>VLOOKUP(B117,Справочники!$B:$F,3,FALSE)</f>
        <v>Серверные решения</v>
      </c>
      <c r="D117" s="536">
        <v>18</v>
      </c>
      <c r="E117" s="532">
        <v>18</v>
      </c>
      <c r="F117" s="532">
        <v>18</v>
      </c>
      <c r="G117" s="532">
        <v>15</v>
      </c>
      <c r="H117" s="532">
        <v>14</v>
      </c>
      <c r="I117" s="532">
        <v>15</v>
      </c>
      <c r="J117" s="532">
        <v>15</v>
      </c>
      <c r="K117" s="532">
        <v>18</v>
      </c>
      <c r="L117" s="532">
        <v>18</v>
      </c>
      <c r="M117" s="532">
        <v>17</v>
      </c>
      <c r="N117" s="532">
        <v>17</v>
      </c>
      <c r="O117" s="533">
        <v>18</v>
      </c>
      <c r="P117" s="45"/>
    </row>
    <row r="118" spans="1:16" s="1" customFormat="1" ht="12.75" hidden="1">
      <c r="A118" s="48"/>
      <c r="B118" s="478" t="s">
        <v>325</v>
      </c>
      <c r="C118" s="480" t="str">
        <f>VLOOKUP(B118,Справочники!$B:$F,3,FALSE)</f>
        <v>Системы хранения данных</v>
      </c>
      <c r="D118" s="536">
        <v>7</v>
      </c>
      <c r="E118" s="532">
        <v>7</v>
      </c>
      <c r="F118" s="532">
        <v>7</v>
      </c>
      <c r="G118" s="532">
        <v>6</v>
      </c>
      <c r="H118" s="532">
        <v>6</v>
      </c>
      <c r="I118" s="532">
        <v>7</v>
      </c>
      <c r="J118" s="532">
        <v>7</v>
      </c>
      <c r="K118" s="532">
        <v>7</v>
      </c>
      <c r="L118" s="532">
        <v>7</v>
      </c>
      <c r="M118" s="532">
        <v>6</v>
      </c>
      <c r="N118" s="532">
        <v>6</v>
      </c>
      <c r="O118" s="533">
        <v>7</v>
      </c>
      <c r="P118" s="45"/>
    </row>
    <row r="119" spans="1:16" s="1" customFormat="1" ht="12.75" hidden="1">
      <c r="A119" s="48"/>
      <c r="B119" s="478" t="s">
        <v>326</v>
      </c>
      <c r="C119" s="480" t="str">
        <f>VLOOKUP(B119,Справочники!$B:$F,3,FALSE)</f>
        <v>Програмное обеспечение</v>
      </c>
      <c r="D119" s="536">
        <v>6</v>
      </c>
      <c r="E119" s="532">
        <v>6</v>
      </c>
      <c r="F119" s="532">
        <v>6</v>
      </c>
      <c r="G119" s="532">
        <v>5</v>
      </c>
      <c r="H119" s="532">
        <v>6</v>
      </c>
      <c r="I119" s="532">
        <v>4</v>
      </c>
      <c r="J119" s="532">
        <v>3</v>
      </c>
      <c r="K119" s="532">
        <v>3</v>
      </c>
      <c r="L119" s="532">
        <v>3</v>
      </c>
      <c r="M119" s="532">
        <v>3</v>
      </c>
      <c r="N119" s="532">
        <v>3</v>
      </c>
      <c r="O119" s="533">
        <v>3</v>
      </c>
      <c r="P119" s="45"/>
    </row>
    <row r="120" spans="1:16" s="1" customFormat="1" ht="12.75" hidden="1">
      <c r="A120" s="48"/>
      <c r="B120" s="478" t="s">
        <v>327</v>
      </c>
      <c r="C120" s="480" t="str">
        <f>VLOOKUP(B120,Справочники!$B:$F,3,FALSE)</f>
        <v>Услуги</v>
      </c>
      <c r="D120" s="536">
        <v>5</v>
      </c>
      <c r="E120" s="532">
        <v>5</v>
      </c>
      <c r="F120" s="532">
        <v>5</v>
      </c>
      <c r="G120" s="532">
        <v>5</v>
      </c>
      <c r="H120" s="532">
        <v>5</v>
      </c>
      <c r="I120" s="532">
        <v>5</v>
      </c>
      <c r="J120" s="532">
        <v>4</v>
      </c>
      <c r="K120" s="532">
        <v>4</v>
      </c>
      <c r="L120" s="532">
        <v>4</v>
      </c>
      <c r="M120" s="532">
        <v>4</v>
      </c>
      <c r="N120" s="532">
        <v>4</v>
      </c>
      <c r="O120" s="533">
        <v>3</v>
      </c>
      <c r="P120" s="45"/>
    </row>
    <row r="121" spans="1:16" s="1" customFormat="1" ht="12.75" hidden="1">
      <c r="A121" s="48"/>
      <c r="B121" s="478" t="s">
        <v>328</v>
      </c>
      <c r="C121" s="480" t="str">
        <f>VLOOKUP(B121,Справочники!$B:$F,3,FALSE)</f>
        <v>Адаптер</v>
      </c>
      <c r="D121" s="661"/>
      <c r="E121" s="662"/>
      <c r="F121" s="662"/>
      <c r="G121" s="662"/>
      <c r="H121" s="662"/>
      <c r="I121" s="662"/>
      <c r="J121" s="662"/>
      <c r="K121" s="662"/>
      <c r="L121" s="662"/>
      <c r="M121" s="662"/>
      <c r="N121" s="662"/>
      <c r="O121" s="663"/>
      <c r="P121" s="45"/>
    </row>
    <row r="122" spans="1:16" s="1" customFormat="1" ht="12.75" hidden="1">
      <c r="A122" s="48"/>
      <c r="B122" s="478" t="s">
        <v>280</v>
      </c>
      <c r="C122" s="480" t="str">
        <f>VLOOKUP(B122,Справочники!$B:$F,3,FALSE)</f>
        <v>Продукт N - (Гос. Инвестиции)</v>
      </c>
      <c r="D122" s="661"/>
      <c r="E122" s="662"/>
      <c r="F122" s="662"/>
      <c r="G122" s="662"/>
      <c r="H122" s="662"/>
      <c r="I122" s="662"/>
      <c r="J122" s="662"/>
      <c r="K122" s="662"/>
      <c r="L122" s="662"/>
      <c r="M122" s="662"/>
      <c r="N122" s="662"/>
      <c r="O122" s="663"/>
      <c r="P122" s="45"/>
    </row>
    <row r="123" spans="1:16" s="1" customFormat="1" ht="12.75" hidden="1">
      <c r="A123" s="48"/>
      <c r="B123" s="495" t="s">
        <v>281</v>
      </c>
      <c r="C123" s="480" t="e">
        <f>VLOOKUP(B123,Справочники!$B:$F,3,FALSE)</f>
        <v>#N/A</v>
      </c>
      <c r="D123" s="537"/>
      <c r="E123" s="534"/>
      <c r="F123" s="534"/>
      <c r="G123" s="534"/>
      <c r="H123" s="534"/>
      <c r="I123" s="534"/>
      <c r="J123" s="534"/>
      <c r="K123" s="534"/>
      <c r="L123" s="534"/>
      <c r="M123" s="534"/>
      <c r="N123" s="534"/>
      <c r="O123" s="535"/>
      <c r="P123" s="45"/>
    </row>
    <row r="124" spans="1:16" s="1" customFormat="1" ht="12.75" hidden="1" collapsed="1">
      <c r="A124" s="48"/>
      <c r="B124" s="474"/>
      <c r="C124" s="422" t="s">
        <v>70</v>
      </c>
      <c r="D124" s="458">
        <f>SUM(D116:D123)</f>
        <v>47</v>
      </c>
      <c r="E124" s="424">
        <f aca="true" t="shared" si="27" ref="E124:O124">SUM(E116:E123)</f>
        <v>47</v>
      </c>
      <c r="F124" s="424">
        <f t="shared" si="27"/>
        <v>47</v>
      </c>
      <c r="G124" s="424">
        <f t="shared" si="27"/>
        <v>40</v>
      </c>
      <c r="H124" s="424">
        <f t="shared" si="27"/>
        <v>41</v>
      </c>
      <c r="I124" s="424">
        <f t="shared" si="27"/>
        <v>41</v>
      </c>
      <c r="J124" s="424">
        <f t="shared" si="27"/>
        <v>40</v>
      </c>
      <c r="K124" s="424">
        <f t="shared" si="27"/>
        <v>43</v>
      </c>
      <c r="L124" s="424">
        <f t="shared" si="27"/>
        <v>43</v>
      </c>
      <c r="M124" s="424">
        <f t="shared" si="27"/>
        <v>41</v>
      </c>
      <c r="N124" s="424">
        <f t="shared" si="27"/>
        <v>41</v>
      </c>
      <c r="O124" s="425">
        <f t="shared" si="27"/>
        <v>42</v>
      </c>
      <c r="P124" s="45"/>
    </row>
    <row r="125" spans="1:16" s="1" customFormat="1" ht="12.75" hidden="1" outlineLevel="1">
      <c r="A125" s="48"/>
      <c r="B125" s="670" t="s">
        <v>323</v>
      </c>
      <c r="C125" s="443" t="str">
        <f>VLOOKUP(B125,Справочники!$B:$F,3,FALSE)</f>
        <v>Специализированные комплексы</v>
      </c>
      <c r="D125" s="483" t="e">
        <f>VLOOKUP($B125,$B$116:$O$123,COLUMN(D:D)-1,FALSE)*VLOOKUP($B125,#REF!,COLUMN(D:D)-1,FALSE)</f>
        <v>#REF!</v>
      </c>
      <c r="E125" s="483" t="e">
        <f>VLOOKUP($B125,$B$116:$O$123,COLUMN(E:E)-1,FALSE)*VLOOKUP($B125,#REF!,COLUMN(E:E)-1,FALSE)</f>
        <v>#REF!</v>
      </c>
      <c r="F125" s="484" t="e">
        <f>VLOOKUP($B125,$B$116:$O$123,COLUMN(F:F)-1,FALSE)*VLOOKUP($B125,#REF!,COLUMN(F:F)-1,FALSE)</f>
        <v>#REF!</v>
      </c>
      <c r="G125" s="484" t="e">
        <f>VLOOKUP($B125,$B$116:$O$123,COLUMN(G:G)-1,FALSE)*VLOOKUP($B125,#REF!,COLUMN(G:G)-1,FALSE)</f>
        <v>#REF!</v>
      </c>
      <c r="H125" s="484" t="e">
        <f>VLOOKUP($B125,$B$116:$O$123,COLUMN(H:H)-1,FALSE)*VLOOKUP($B125,#REF!,COLUMN(H:H)-1,FALSE)</f>
        <v>#REF!</v>
      </c>
      <c r="I125" s="484" t="e">
        <f>VLOOKUP($B125,$B$116:$O$123,COLUMN(I:I)-1,FALSE)*VLOOKUP($B125,#REF!,COLUMN(I:I)-1,FALSE)</f>
        <v>#REF!</v>
      </c>
      <c r="J125" s="484" t="e">
        <f>VLOOKUP($B125,$B$116:$O$123,COLUMN(J:J)-1,FALSE)*VLOOKUP($B125,#REF!,COLUMN(J:J)-1,FALSE)</f>
        <v>#REF!</v>
      </c>
      <c r="K125" s="484" t="e">
        <f>VLOOKUP($B125,$B$116:$O$123,COLUMN(K:K)-1,FALSE)*VLOOKUP($B125,#REF!,COLUMN(K:K)-1,FALSE)</f>
        <v>#REF!</v>
      </c>
      <c r="L125" s="484" t="e">
        <f>VLOOKUP($B125,$B$116:$O$123,COLUMN(L:L)-1,FALSE)*VLOOKUP($B125,#REF!,COLUMN(L:L)-1,FALSE)</f>
        <v>#REF!</v>
      </c>
      <c r="M125" s="484" t="e">
        <f>VLOOKUP($B125,$B$116:$O$123,COLUMN(M:M)-1,FALSE)*VLOOKUP($B125,#REF!,COLUMN(M:M)-1,FALSE)</f>
        <v>#REF!</v>
      </c>
      <c r="N125" s="484" t="e">
        <f>VLOOKUP($B125,$B$116:$O$123,COLUMN(N:N)-1,FALSE)*VLOOKUP($B125,#REF!,COLUMN(N:N)-1,FALSE)</f>
        <v>#REF!</v>
      </c>
      <c r="O125" s="475" t="e">
        <f>VLOOKUP($B125,$B$116:$O$123,COLUMN(O:O)-1,FALSE)*VLOOKUP($B125,#REF!,COLUMN(O:O)-1,FALSE)</f>
        <v>#REF!</v>
      </c>
      <c r="P125" s="45"/>
    </row>
    <row r="126" spans="1:16" s="1" customFormat="1" ht="12.75" hidden="1" outlineLevel="1">
      <c r="A126" s="48"/>
      <c r="B126" s="478" t="s">
        <v>324</v>
      </c>
      <c r="C126" s="480" t="str">
        <f>VLOOKUP(B126,Справочники!$B:$F,3,FALSE)</f>
        <v>Серверные решения</v>
      </c>
      <c r="D126" s="539" t="e">
        <f>VLOOKUP($B126,$B$116:$O$123,COLUMN(D:D)-1,FALSE)*VLOOKUP($B126,#REF!,COLUMN(D:D)-1,FALSE)</f>
        <v>#REF!</v>
      </c>
      <c r="E126" s="540" t="e">
        <f>VLOOKUP($B126,$B$116:$O$123,COLUMN(E:E)-1,FALSE)*VLOOKUP($B126,#REF!,COLUMN(E:E)-1,FALSE)</f>
        <v>#REF!</v>
      </c>
      <c r="F126" s="540" t="e">
        <f>VLOOKUP($B126,$B$116:$O$123,COLUMN(F:F)-1,FALSE)*VLOOKUP($B126,#REF!,COLUMN(F:F)-1,FALSE)</f>
        <v>#REF!</v>
      </c>
      <c r="G126" s="540" t="e">
        <f>VLOOKUP($B126,$B$116:$O$123,COLUMN(G:G)-1,FALSE)*VLOOKUP($B126,#REF!,COLUMN(G:G)-1,FALSE)</f>
        <v>#REF!</v>
      </c>
      <c r="H126" s="540" t="e">
        <f>VLOOKUP($B126,$B$116:$O$123,COLUMN(H:H)-1,FALSE)*VLOOKUP($B126,#REF!,COLUMN(H:H)-1,FALSE)</f>
        <v>#REF!</v>
      </c>
      <c r="I126" s="540" t="e">
        <f>VLOOKUP($B126,$B$116:$O$123,COLUMN(I:I)-1,FALSE)*VLOOKUP($B126,#REF!,COLUMN(I:I)-1,FALSE)</f>
        <v>#REF!</v>
      </c>
      <c r="J126" s="540" t="e">
        <f>VLOOKUP($B126,$B$116:$O$123,COLUMN(J:J)-1,FALSE)*VLOOKUP($B126,#REF!,COLUMN(J:J)-1,FALSE)</f>
        <v>#REF!</v>
      </c>
      <c r="K126" s="540" t="e">
        <f>VLOOKUP($B126,$B$116:$O$123,COLUMN(K:K)-1,FALSE)*VLOOKUP($B126,#REF!,COLUMN(K:K)-1,FALSE)</f>
        <v>#REF!</v>
      </c>
      <c r="L126" s="540" t="e">
        <f>VLOOKUP($B126,$B$116:$O$123,COLUMN(L:L)-1,FALSE)*VLOOKUP($B126,#REF!,COLUMN(L:L)-1,FALSE)</f>
        <v>#REF!</v>
      </c>
      <c r="M126" s="540" t="e">
        <f>VLOOKUP($B126,$B$116:$O$123,COLUMN(M:M)-1,FALSE)*VLOOKUP($B126,#REF!,COLUMN(M:M)-1,FALSE)</f>
        <v>#REF!</v>
      </c>
      <c r="N126" s="540" t="e">
        <f>VLOOKUP($B126,$B$116:$O$123,COLUMN(N:N)-1,FALSE)*VLOOKUP($B126,#REF!,COLUMN(N:N)-1,FALSE)</f>
        <v>#REF!</v>
      </c>
      <c r="O126" s="440" t="e">
        <f>VLOOKUP($B126,$B$116:$O$123,COLUMN(O:O)-1,FALSE)*VLOOKUP($B126,#REF!,COLUMN(O:O)-1,FALSE)</f>
        <v>#REF!</v>
      </c>
      <c r="P126" s="45"/>
    </row>
    <row r="127" spans="1:16" s="1" customFormat="1" ht="12.75" hidden="1" outlineLevel="1">
      <c r="A127" s="48"/>
      <c r="B127" s="478" t="s">
        <v>325</v>
      </c>
      <c r="C127" s="480" t="str">
        <f>VLOOKUP(B127,Справочники!$B:$F,3,FALSE)</f>
        <v>Системы хранения данных</v>
      </c>
      <c r="D127" s="539" t="e">
        <f>VLOOKUP($B127,$B$116:$O$123,COLUMN(D:D)-1,FALSE)*VLOOKUP($B127,#REF!,COLUMN(D:D)-1,FALSE)</f>
        <v>#REF!</v>
      </c>
      <c r="E127" s="540" t="e">
        <f>VLOOKUP($B127,$B$116:$O$123,COLUMN(E:E)-1,FALSE)*VLOOKUP($B127,#REF!,COLUMN(E:E)-1,FALSE)</f>
        <v>#REF!</v>
      </c>
      <c r="F127" s="540" t="e">
        <f>VLOOKUP($B127,$B$116:$O$123,COLUMN(F:F)-1,FALSE)*VLOOKUP($B127,#REF!,COLUMN(F:F)-1,FALSE)</f>
        <v>#REF!</v>
      </c>
      <c r="G127" s="540" t="e">
        <f>VLOOKUP($B127,$B$116:$O$123,COLUMN(G:G)-1,FALSE)*VLOOKUP($B127,#REF!,COLUMN(G:G)-1,FALSE)</f>
        <v>#REF!</v>
      </c>
      <c r="H127" s="540" t="e">
        <f>VLOOKUP($B127,$B$116:$O$123,COLUMN(H:H)-1,FALSE)*VLOOKUP($B127,#REF!,COLUMN(H:H)-1,FALSE)</f>
        <v>#REF!</v>
      </c>
      <c r="I127" s="540" t="e">
        <f>VLOOKUP($B127,$B$116:$O$123,COLUMN(I:I)-1,FALSE)*VLOOKUP($B127,#REF!,COLUMN(I:I)-1,FALSE)</f>
        <v>#REF!</v>
      </c>
      <c r="J127" s="540" t="e">
        <f>VLOOKUP($B127,$B$116:$O$123,COLUMN(J:J)-1,FALSE)*VLOOKUP($B127,#REF!,COLUMN(J:J)-1,FALSE)</f>
        <v>#REF!</v>
      </c>
      <c r="K127" s="540" t="e">
        <f>VLOOKUP($B127,$B$116:$O$123,COLUMN(K:K)-1,FALSE)*VLOOKUP($B127,#REF!,COLUMN(K:K)-1,FALSE)</f>
        <v>#REF!</v>
      </c>
      <c r="L127" s="540" t="e">
        <f>VLOOKUP($B127,$B$116:$O$123,COLUMN(L:L)-1,FALSE)*VLOOKUP($B127,#REF!,COLUMN(L:L)-1,FALSE)</f>
        <v>#REF!</v>
      </c>
      <c r="M127" s="540" t="e">
        <f>VLOOKUP($B127,$B$116:$O$123,COLUMN(M:M)-1,FALSE)*VLOOKUP($B127,#REF!,COLUMN(M:M)-1,FALSE)</f>
        <v>#REF!</v>
      </c>
      <c r="N127" s="540" t="e">
        <f>VLOOKUP($B127,$B$116:$O$123,COLUMN(N:N)-1,FALSE)*VLOOKUP($B127,#REF!,COLUMN(N:N)-1,FALSE)</f>
        <v>#REF!</v>
      </c>
      <c r="O127" s="440" t="e">
        <f>VLOOKUP($B127,$B$116:$O$123,COLUMN(O:O)-1,FALSE)*VLOOKUP($B127,#REF!,COLUMN(O:O)-1,FALSE)</f>
        <v>#REF!</v>
      </c>
      <c r="P127" s="45"/>
    </row>
    <row r="128" spans="1:16" s="1" customFormat="1" ht="12.75" hidden="1" outlineLevel="1">
      <c r="A128" s="48"/>
      <c r="B128" s="478" t="s">
        <v>326</v>
      </c>
      <c r="C128" s="480" t="str">
        <f>VLOOKUP(B128,Справочники!$B:$F,3,FALSE)</f>
        <v>Програмное обеспечение</v>
      </c>
      <c r="D128" s="539" t="e">
        <f>VLOOKUP($B128,$B$116:$O$123,COLUMN(D:D)-1,FALSE)*VLOOKUP($B128,#REF!,COLUMN(D:D)-1,FALSE)</f>
        <v>#REF!</v>
      </c>
      <c r="E128" s="540" t="e">
        <f>VLOOKUP($B128,$B$116:$O$123,COLUMN(E:E)-1,FALSE)*VLOOKUP($B128,#REF!,COLUMN(E:E)-1,FALSE)</f>
        <v>#REF!</v>
      </c>
      <c r="F128" s="540" t="e">
        <f>VLOOKUP($B128,$B$116:$O$123,COLUMN(F:F)-1,FALSE)*VLOOKUP($B128,#REF!,COLUMN(F:F)-1,FALSE)</f>
        <v>#REF!</v>
      </c>
      <c r="G128" s="540" t="e">
        <f>VLOOKUP($B128,$B$116:$O$123,COLUMN(G:G)-1,FALSE)*VLOOKUP($B128,#REF!,COLUMN(G:G)-1,FALSE)</f>
        <v>#REF!</v>
      </c>
      <c r="H128" s="540" t="e">
        <f>VLOOKUP($B128,$B$116:$O$123,COLUMN(H:H)-1,FALSE)*VLOOKUP($B128,#REF!,COLUMN(H:H)-1,FALSE)</f>
        <v>#REF!</v>
      </c>
      <c r="I128" s="540" t="e">
        <f>VLOOKUP($B128,$B$116:$O$123,COLUMN(I:I)-1,FALSE)*VLOOKUP($B128,#REF!,COLUMN(I:I)-1,FALSE)</f>
        <v>#REF!</v>
      </c>
      <c r="J128" s="540" t="e">
        <f>VLOOKUP($B128,$B$116:$O$123,COLUMN(J:J)-1,FALSE)*VLOOKUP($B128,#REF!,COLUMN(J:J)-1,FALSE)</f>
        <v>#REF!</v>
      </c>
      <c r="K128" s="540" t="e">
        <f>VLOOKUP($B128,$B$116:$O$123,COLUMN(K:K)-1,FALSE)*VLOOKUP($B128,#REF!,COLUMN(K:K)-1,FALSE)</f>
        <v>#REF!</v>
      </c>
      <c r="L128" s="540" t="e">
        <f>VLOOKUP($B128,$B$116:$O$123,COLUMN(L:L)-1,FALSE)*VLOOKUP($B128,#REF!,COLUMN(L:L)-1,FALSE)</f>
        <v>#REF!</v>
      </c>
      <c r="M128" s="540" t="e">
        <f>VLOOKUP($B128,$B$116:$O$123,COLUMN(M:M)-1,FALSE)*VLOOKUP($B128,#REF!,COLUMN(M:M)-1,FALSE)</f>
        <v>#REF!</v>
      </c>
      <c r="N128" s="540" t="e">
        <f>VLOOKUP($B128,$B$116:$O$123,COLUMN(N:N)-1,FALSE)*VLOOKUP($B128,#REF!,COLUMN(N:N)-1,FALSE)</f>
        <v>#REF!</v>
      </c>
      <c r="O128" s="440" t="e">
        <f>VLOOKUP($B128,$B$116:$O$123,COLUMN(O:O)-1,FALSE)*VLOOKUP($B128,#REF!,COLUMN(O:O)-1,FALSE)</f>
        <v>#REF!</v>
      </c>
      <c r="P128" s="45"/>
    </row>
    <row r="129" spans="1:16" s="1" customFormat="1" ht="12.75" hidden="1" outlineLevel="1">
      <c r="A129" s="48"/>
      <c r="B129" s="478" t="s">
        <v>327</v>
      </c>
      <c r="C129" s="480" t="str">
        <f>VLOOKUP(B129,Справочники!$B:$F,3,FALSE)</f>
        <v>Услуги</v>
      </c>
      <c r="D129" s="539" t="e">
        <f>VLOOKUP($B129,$B$116:$O$123,COLUMN(D:D)-1,FALSE)*VLOOKUP($B129,#REF!,COLUMN(D:D)-1,FALSE)</f>
        <v>#REF!</v>
      </c>
      <c r="E129" s="540" t="e">
        <f>VLOOKUP($B129,$B$116:$O$123,COLUMN(E:E)-1,FALSE)*VLOOKUP($B129,#REF!,COLUMN(E:E)-1,FALSE)</f>
        <v>#REF!</v>
      </c>
      <c r="F129" s="540" t="e">
        <f>VLOOKUP($B129,$B$116:$O$123,COLUMN(F:F)-1,FALSE)*VLOOKUP($B129,#REF!,COLUMN(F:F)-1,FALSE)</f>
        <v>#REF!</v>
      </c>
      <c r="G129" s="540" t="e">
        <f>VLOOKUP($B129,$B$116:$O$123,COLUMN(G:G)-1,FALSE)*VLOOKUP($B129,#REF!,COLUMN(G:G)-1,FALSE)</f>
        <v>#REF!</v>
      </c>
      <c r="H129" s="540" t="e">
        <f>VLOOKUP($B129,$B$116:$O$123,COLUMN(H:H)-1,FALSE)*VLOOKUP($B129,#REF!,COLUMN(H:H)-1,FALSE)</f>
        <v>#REF!</v>
      </c>
      <c r="I129" s="540" t="e">
        <f>VLOOKUP($B129,$B$116:$O$123,COLUMN(I:I)-1,FALSE)*VLOOKUP($B129,#REF!,COLUMN(I:I)-1,FALSE)</f>
        <v>#REF!</v>
      </c>
      <c r="J129" s="540" t="e">
        <f>VLOOKUP($B129,$B$116:$O$123,COLUMN(J:J)-1,FALSE)*VLOOKUP($B129,#REF!,COLUMN(J:J)-1,FALSE)</f>
        <v>#REF!</v>
      </c>
      <c r="K129" s="540" t="e">
        <f>VLOOKUP($B129,$B$116:$O$123,COLUMN(K:K)-1,FALSE)*VLOOKUP($B129,#REF!,COLUMN(K:K)-1,FALSE)</f>
        <v>#REF!</v>
      </c>
      <c r="L129" s="540" t="e">
        <f>VLOOKUP($B129,$B$116:$O$123,COLUMN(L:L)-1,FALSE)*VLOOKUP($B129,#REF!,COLUMN(L:L)-1,FALSE)</f>
        <v>#REF!</v>
      </c>
      <c r="M129" s="540" t="e">
        <f>VLOOKUP($B129,$B$116:$O$123,COLUMN(M:M)-1,FALSE)*VLOOKUP($B129,#REF!,COLUMN(M:M)-1,FALSE)</f>
        <v>#REF!</v>
      </c>
      <c r="N129" s="540" t="e">
        <f>VLOOKUP($B129,$B$116:$O$123,COLUMN(N:N)-1,FALSE)*VLOOKUP($B129,#REF!,COLUMN(N:N)-1,FALSE)</f>
        <v>#REF!</v>
      </c>
      <c r="O129" s="440" t="e">
        <f>VLOOKUP($B129,$B$116:$O$123,COLUMN(O:O)-1,FALSE)*VLOOKUP($B129,#REF!,COLUMN(O:O)-1,FALSE)</f>
        <v>#REF!</v>
      </c>
      <c r="P129" s="45"/>
    </row>
    <row r="130" spans="1:16" s="1" customFormat="1" ht="12.75" hidden="1" outlineLevel="1">
      <c r="A130" s="48"/>
      <c r="B130" s="478" t="s">
        <v>328</v>
      </c>
      <c r="C130" s="480" t="str">
        <f>VLOOKUP(B130,Справочники!$B:$F,3,FALSE)</f>
        <v>Адаптер</v>
      </c>
      <c r="D130" s="664" t="e">
        <f>VLOOKUP($B130,$B$116:$O$123,COLUMN(D:D)-1,FALSE)*VLOOKUP($B130,#REF!,COLUMN(D:D)-1,FALSE)</f>
        <v>#REF!</v>
      </c>
      <c r="E130" s="665" t="e">
        <f>VLOOKUP($B130,$B$116:$O$123,COLUMN(E:E)-1,FALSE)*VLOOKUP($B130,#REF!,COLUMN(E:E)-1,FALSE)</f>
        <v>#REF!</v>
      </c>
      <c r="F130" s="665" t="e">
        <f>VLOOKUP($B130,$B$116:$O$123,COLUMN(F:F)-1,FALSE)*VLOOKUP($B130,#REF!,COLUMN(F:F)-1,FALSE)</f>
        <v>#REF!</v>
      </c>
      <c r="G130" s="665" t="e">
        <f>VLOOKUP($B130,$B$116:$O$123,COLUMN(G:G)-1,FALSE)*VLOOKUP($B130,#REF!,COLUMN(G:G)-1,FALSE)</f>
        <v>#REF!</v>
      </c>
      <c r="H130" s="665" t="e">
        <f>VLOOKUP($B130,$B$116:$O$123,COLUMN(H:H)-1,FALSE)*VLOOKUP($B130,#REF!,COLUMN(H:H)-1,FALSE)</f>
        <v>#REF!</v>
      </c>
      <c r="I130" s="665" t="e">
        <f>VLOOKUP($B130,$B$116:$O$123,COLUMN(I:I)-1,FALSE)*VLOOKUP($B130,#REF!,COLUMN(I:I)-1,FALSE)</f>
        <v>#REF!</v>
      </c>
      <c r="J130" s="665" t="e">
        <f>VLOOKUP($B130,$B$116:$O$123,COLUMN(J:J)-1,FALSE)*VLOOKUP($B130,#REF!,COLUMN(J:J)-1,FALSE)</f>
        <v>#REF!</v>
      </c>
      <c r="K130" s="665" t="e">
        <f>VLOOKUP($B130,$B$116:$O$123,COLUMN(K:K)-1,FALSE)*VLOOKUP($B130,#REF!,COLUMN(K:K)-1,FALSE)</f>
        <v>#REF!</v>
      </c>
      <c r="L130" s="665" t="e">
        <f>VLOOKUP($B130,$B$116:$O$123,COLUMN(L:L)-1,FALSE)*VLOOKUP($B130,#REF!,COLUMN(L:L)-1,FALSE)</f>
        <v>#REF!</v>
      </c>
      <c r="M130" s="665" t="e">
        <f>VLOOKUP($B130,$B$116:$O$123,COLUMN(M:M)-1,FALSE)*VLOOKUP($B130,#REF!,COLUMN(M:M)-1,FALSE)</f>
        <v>#REF!</v>
      </c>
      <c r="N130" s="665" t="e">
        <f>VLOOKUP($B130,$B$116:$O$123,COLUMN(N:N)-1,FALSE)*VLOOKUP($B130,#REF!,COLUMN(N:N)-1,FALSE)</f>
        <v>#REF!</v>
      </c>
      <c r="O130" s="658" t="e">
        <f>VLOOKUP($B130,$B$116:$O$123,COLUMN(O:O)-1,FALSE)*VLOOKUP($B130,#REF!,COLUMN(O:O)-1,FALSE)</f>
        <v>#REF!</v>
      </c>
      <c r="P130" s="45"/>
    </row>
    <row r="131" spans="1:16" s="1" customFormat="1" ht="12.75" hidden="1" outlineLevel="1">
      <c r="A131" s="48"/>
      <c r="B131" s="478" t="s">
        <v>280</v>
      </c>
      <c r="C131" s="480" t="str">
        <f>VLOOKUP(B131,Справочники!$B:$F,3,FALSE)</f>
        <v>Продукт N - (Гос. Инвестиции)</v>
      </c>
      <c r="D131" s="664" t="e">
        <f>VLOOKUP($B131,$B$116:$O$123,COLUMN(D:D)-1,FALSE)*VLOOKUP($B131,#REF!,COLUMN(D:D)-1,FALSE)</f>
        <v>#REF!</v>
      </c>
      <c r="E131" s="665" t="e">
        <f>VLOOKUP($B131,$B$116:$O$123,COLUMN(E:E)-1,FALSE)*VLOOKUP($B131,#REF!,COLUMN(E:E)-1,FALSE)</f>
        <v>#REF!</v>
      </c>
      <c r="F131" s="665" t="e">
        <f>VLOOKUP($B131,$B$116:$O$123,COLUMN(F:F)-1,FALSE)*VLOOKUP($B131,#REF!,COLUMN(F:F)-1,FALSE)</f>
        <v>#REF!</v>
      </c>
      <c r="G131" s="665" t="e">
        <f>VLOOKUP($B131,$B$116:$O$123,COLUMN(G:G)-1,FALSE)*VLOOKUP($B131,#REF!,COLUMN(G:G)-1,FALSE)</f>
        <v>#REF!</v>
      </c>
      <c r="H131" s="665" t="e">
        <f>VLOOKUP($B131,$B$116:$O$123,COLUMN(H:H)-1,FALSE)*VLOOKUP($B131,#REF!,COLUMN(H:H)-1,FALSE)</f>
        <v>#REF!</v>
      </c>
      <c r="I131" s="665" t="e">
        <f>VLOOKUP($B131,$B$116:$O$123,COLUMN(I:I)-1,FALSE)*VLOOKUP($B131,#REF!,COLUMN(I:I)-1,FALSE)</f>
        <v>#REF!</v>
      </c>
      <c r="J131" s="665" t="e">
        <f>VLOOKUP($B131,$B$116:$O$123,COLUMN(J:J)-1,FALSE)*VLOOKUP($B131,#REF!,COLUMN(J:J)-1,FALSE)</f>
        <v>#REF!</v>
      </c>
      <c r="K131" s="665" t="e">
        <f>VLOOKUP($B131,$B$116:$O$123,COLUMN(K:K)-1,FALSE)*VLOOKUP($B131,#REF!,COLUMN(K:K)-1,FALSE)</f>
        <v>#REF!</v>
      </c>
      <c r="L131" s="665" t="e">
        <f>VLOOKUP($B131,$B$116:$O$123,COLUMN(L:L)-1,FALSE)*VLOOKUP($B131,#REF!,COLUMN(L:L)-1,FALSE)</f>
        <v>#REF!</v>
      </c>
      <c r="M131" s="665" t="e">
        <f>VLOOKUP($B131,$B$116:$O$123,COLUMN(M:M)-1,FALSE)*VLOOKUP($B131,#REF!,COLUMN(M:M)-1,FALSE)</f>
        <v>#REF!</v>
      </c>
      <c r="N131" s="665" t="e">
        <f>VLOOKUP($B131,$B$116:$O$123,COLUMN(N:N)-1,FALSE)*VLOOKUP($B131,#REF!,COLUMN(N:N)-1,FALSE)</f>
        <v>#REF!</v>
      </c>
      <c r="O131" s="658" t="e">
        <f>VLOOKUP($B131,$B$116:$O$123,COLUMN(O:O)-1,FALSE)*VLOOKUP($B131,#REF!,COLUMN(O:O)-1,FALSE)</f>
        <v>#REF!</v>
      </c>
      <c r="P131" s="45"/>
    </row>
    <row r="132" spans="1:16" s="1" customFormat="1" ht="12.75" hidden="1" outlineLevel="1">
      <c r="A132" s="669"/>
      <c r="B132" s="495" t="s">
        <v>281</v>
      </c>
      <c r="C132" s="480" t="e">
        <f>VLOOKUP(B132,Справочники!$B:$F,3,FALSE)</f>
        <v>#N/A</v>
      </c>
      <c r="D132" s="496" t="e">
        <f>VLOOKUP($B132,$B$116:$O$123,COLUMN(D:D)-1,FALSE)*VLOOKUP($B132,#REF!,COLUMN(D:D)-1,FALSE)</f>
        <v>#REF!</v>
      </c>
      <c r="E132" s="497" t="e">
        <f>VLOOKUP($B132,$B$116:$O$123,COLUMN(E:E)-1,FALSE)*VLOOKUP($B132,#REF!,COLUMN(E:E)-1,FALSE)</f>
        <v>#REF!</v>
      </c>
      <c r="F132" s="497" t="e">
        <f>VLOOKUP($B132,$B$116:$O$123,COLUMN(F:F)-1,FALSE)*VLOOKUP($B132,#REF!,COLUMN(F:F)-1,FALSE)</f>
        <v>#REF!</v>
      </c>
      <c r="G132" s="497" t="e">
        <f>VLOOKUP($B132,$B$116:$O$123,COLUMN(G:G)-1,FALSE)*VLOOKUP($B132,#REF!,COLUMN(G:G)-1,FALSE)</f>
        <v>#REF!</v>
      </c>
      <c r="H132" s="497" t="e">
        <f>VLOOKUP($B132,$B$116:$O$123,COLUMN(H:H)-1,FALSE)*VLOOKUP($B132,#REF!,COLUMN(H:H)-1,FALSE)</f>
        <v>#REF!</v>
      </c>
      <c r="I132" s="497" t="e">
        <f>VLOOKUP($B132,$B$116:$O$123,COLUMN(I:I)-1,FALSE)*VLOOKUP($B132,#REF!,COLUMN(I:I)-1,FALSE)</f>
        <v>#REF!</v>
      </c>
      <c r="J132" s="497" t="e">
        <f>VLOOKUP($B132,$B$116:$O$123,COLUMN(J:J)-1,FALSE)*VLOOKUP($B132,#REF!,COLUMN(J:J)-1,FALSE)</f>
        <v>#REF!</v>
      </c>
      <c r="K132" s="497" t="e">
        <f>VLOOKUP($B132,$B$116:$O$123,COLUMN(K:K)-1,FALSE)*VLOOKUP($B132,#REF!,COLUMN(K:K)-1,FALSE)</f>
        <v>#REF!</v>
      </c>
      <c r="L132" s="497" t="e">
        <f>VLOOKUP($B132,$B$116:$O$123,COLUMN(L:L)-1,FALSE)*VLOOKUP($B132,#REF!,COLUMN(L:L)-1,FALSE)</f>
        <v>#REF!</v>
      </c>
      <c r="M132" s="497" t="e">
        <f>VLOOKUP($B132,$B$116:$O$123,COLUMN(M:M)-1,FALSE)*VLOOKUP($B132,#REF!,COLUMN(M:M)-1,FALSE)</f>
        <v>#REF!</v>
      </c>
      <c r="N132" s="497" t="e">
        <f>VLOOKUP($B132,$B$116:$O$123,COLUMN(N:N)-1,FALSE)*VLOOKUP($B132,#REF!,COLUMN(N:N)-1,FALSE)</f>
        <v>#REF!</v>
      </c>
      <c r="O132" s="441" t="e">
        <f>VLOOKUP($B132,$B$116:$O$123,COLUMN(O:O)-1,FALSE)*VLOOKUP($B132,#REF!,COLUMN(O:O)-1,FALSE)</f>
        <v>#REF!</v>
      </c>
      <c r="P132" s="45"/>
    </row>
    <row r="133" spans="1:16" s="1" customFormat="1" ht="12.75" hidden="1" collapsed="1">
      <c r="A133" s="3"/>
      <c r="B133" s="463"/>
      <c r="C133" s="482" t="s">
        <v>71</v>
      </c>
      <c r="D133" s="538" t="e">
        <f aca="true" t="shared" si="28" ref="D133:O133">SUM(D125:D132)</f>
        <v>#REF!</v>
      </c>
      <c r="E133" s="465" t="e">
        <f t="shared" si="28"/>
        <v>#REF!</v>
      </c>
      <c r="F133" s="465" t="e">
        <f t="shared" si="28"/>
        <v>#REF!</v>
      </c>
      <c r="G133" s="465" t="e">
        <f t="shared" si="28"/>
        <v>#REF!</v>
      </c>
      <c r="H133" s="465" t="e">
        <f t="shared" si="28"/>
        <v>#REF!</v>
      </c>
      <c r="I133" s="465" t="e">
        <f t="shared" si="28"/>
        <v>#REF!</v>
      </c>
      <c r="J133" s="465" t="e">
        <f t="shared" si="28"/>
        <v>#REF!</v>
      </c>
      <c r="K133" s="465" t="e">
        <f t="shared" si="28"/>
        <v>#REF!</v>
      </c>
      <c r="L133" s="465" t="e">
        <f t="shared" si="28"/>
        <v>#REF!</v>
      </c>
      <c r="M133" s="465" t="e">
        <f t="shared" si="28"/>
        <v>#REF!</v>
      </c>
      <c r="N133" s="465" t="e">
        <f t="shared" si="28"/>
        <v>#REF!</v>
      </c>
      <c r="O133" s="466" t="e">
        <f t="shared" si="28"/>
        <v>#REF!</v>
      </c>
      <c r="P133" s="45"/>
    </row>
    <row r="134" ht="12.75" hidden="1"/>
    <row r="135" ht="12.75" hidden="1"/>
    <row r="136" ht="12.75" hidden="1"/>
    <row r="137" ht="12.75" hidden="1"/>
    <row r="138" spans="2:15" s="36" customFormat="1" ht="25.5" customHeight="1" hidden="1">
      <c r="B138" s="1132" t="s">
        <v>246</v>
      </c>
      <c r="C138" s="1132"/>
      <c r="D138" s="1132"/>
      <c r="E138" s="1132"/>
      <c r="F138" s="1132"/>
      <c r="G138" s="1132"/>
      <c r="H138" s="1132"/>
      <c r="I138" s="1132"/>
      <c r="J138" s="1132"/>
      <c r="K138" s="1132"/>
      <c r="L138" s="1132"/>
      <c r="M138" s="1132"/>
      <c r="N138" s="1132"/>
      <c r="O138" s="1132"/>
    </row>
    <row r="139" spans="3:15" s="36" customFormat="1" ht="12.75" hidden="1">
      <c r="C139" s="67"/>
      <c r="D139" s="459"/>
      <c r="E139" s="459"/>
      <c r="F139" s="459"/>
      <c r="G139" s="459"/>
      <c r="H139" s="459"/>
      <c r="I139" s="459"/>
      <c r="J139" s="459"/>
      <c r="K139" s="459"/>
      <c r="L139" s="459"/>
      <c r="M139" s="459"/>
      <c r="N139" s="459"/>
      <c r="O139" s="459"/>
    </row>
    <row r="140" spans="3:16" s="67" customFormat="1" ht="13.5" hidden="1">
      <c r="C140" s="97" t="s">
        <v>218</v>
      </c>
      <c r="D140" s="97" t="s">
        <v>188</v>
      </c>
      <c r="E140" s="97"/>
      <c r="G140" s="97"/>
      <c r="H140" s="97"/>
      <c r="I140" s="97"/>
      <c r="P140" s="36"/>
    </row>
    <row r="141" spans="3:9" s="67" customFormat="1" ht="13.5" hidden="1">
      <c r="C141" s="97" t="s">
        <v>219</v>
      </c>
      <c r="D141" s="97"/>
      <c r="E141" s="97"/>
      <c r="G141" s="97"/>
      <c r="H141" s="97"/>
      <c r="I141" s="97"/>
    </row>
    <row r="142" spans="3:9" s="67" customFormat="1" ht="13.5" hidden="1">
      <c r="C142" s="97" t="s">
        <v>220</v>
      </c>
      <c r="D142" s="97" t="s">
        <v>187</v>
      </c>
      <c r="E142" s="97"/>
      <c r="G142" s="97"/>
      <c r="H142" s="97"/>
      <c r="I142" s="97"/>
    </row>
    <row r="143" spans="3:15" ht="12.75" customHeight="1" hidden="1">
      <c r="C143" s="434"/>
      <c r="D143" s="434"/>
      <c r="E143" s="434"/>
      <c r="F143" s="434"/>
      <c r="G143" s="434"/>
      <c r="H143" s="434"/>
      <c r="I143" s="434"/>
      <c r="J143" s="434"/>
      <c r="K143" s="434"/>
      <c r="L143" s="434"/>
      <c r="M143" s="434"/>
      <c r="N143" s="434"/>
      <c r="O143" s="434"/>
    </row>
    <row r="144" spans="1:15" s="12" customFormat="1" ht="12.75" hidden="1">
      <c r="A144" s="419" t="s">
        <v>117</v>
      </c>
      <c r="B144" s="419" t="s">
        <v>264</v>
      </c>
      <c r="C144" s="147" t="s">
        <v>251</v>
      </c>
      <c r="D144" s="356" t="e">
        <f>#REF!</f>
        <v>#REF!</v>
      </c>
      <c r="E144" s="356" t="e">
        <f>#REF!</f>
        <v>#REF!</v>
      </c>
      <c r="F144" s="356" t="e">
        <f>#REF!</f>
        <v>#REF!</v>
      </c>
      <c r="G144" s="356" t="e">
        <f>#REF!</f>
        <v>#REF!</v>
      </c>
      <c r="H144" s="356" t="e">
        <f>#REF!</f>
        <v>#REF!</v>
      </c>
      <c r="I144" s="356" t="e">
        <f>#REF!</f>
        <v>#REF!</v>
      </c>
      <c r="J144" s="356" t="e">
        <f>#REF!</f>
        <v>#REF!</v>
      </c>
      <c r="K144" s="356" t="e">
        <f>#REF!</f>
        <v>#REF!</v>
      </c>
      <c r="L144" s="356" t="e">
        <f>#REF!</f>
        <v>#REF!</v>
      </c>
      <c r="M144" s="356" t="e">
        <f>#REF!</f>
        <v>#REF!</v>
      </c>
      <c r="N144" s="356" t="e">
        <f>#REF!</f>
        <v>#REF!</v>
      </c>
      <c r="O144" s="356" t="e">
        <f>#REF!</f>
        <v>#REF!</v>
      </c>
    </row>
    <row r="145" spans="1:15" s="93" customFormat="1" ht="12.75" hidden="1">
      <c r="A145" s="11">
        <v>0</v>
      </c>
      <c r="B145" s="355">
        <v>1</v>
      </c>
      <c r="C145" s="355">
        <f aca="true" t="shared" si="29" ref="C145:O145">B145+1</f>
        <v>2</v>
      </c>
      <c r="D145" s="355">
        <f t="shared" si="29"/>
        <v>3</v>
      </c>
      <c r="E145" s="355">
        <f t="shared" si="29"/>
        <v>4</v>
      </c>
      <c r="F145" s="355">
        <f t="shared" si="29"/>
        <v>5</v>
      </c>
      <c r="G145" s="355">
        <f t="shared" si="29"/>
        <v>6</v>
      </c>
      <c r="H145" s="355">
        <f t="shared" si="29"/>
        <v>7</v>
      </c>
      <c r="I145" s="355">
        <f t="shared" si="29"/>
        <v>8</v>
      </c>
      <c r="J145" s="355">
        <f t="shared" si="29"/>
        <v>9</v>
      </c>
      <c r="K145" s="355">
        <f t="shared" si="29"/>
        <v>10</v>
      </c>
      <c r="L145" s="355">
        <f t="shared" si="29"/>
        <v>11</v>
      </c>
      <c r="M145" s="355">
        <f t="shared" si="29"/>
        <v>12</v>
      </c>
      <c r="N145" s="355">
        <f t="shared" si="29"/>
        <v>13</v>
      </c>
      <c r="O145" s="355">
        <f t="shared" si="29"/>
        <v>14</v>
      </c>
    </row>
    <row r="146" spans="1:15" ht="12.75" hidden="1">
      <c r="A146" s="46"/>
      <c r="B146" s="447" t="s">
        <v>323</v>
      </c>
      <c r="C146" s="448" t="str">
        <f>VLOOKUP(B146,Справочники!$B:$F,3,FALSE)</f>
        <v>Специализированные комплексы</v>
      </c>
      <c r="D146" s="602">
        <f>'План закупок '!E12</f>
        <v>192527.94473229704</v>
      </c>
      <c r="E146" s="451">
        <f>'План закупок '!F12</f>
        <v>818905</v>
      </c>
      <c r="F146" s="451">
        <f>'План закупок '!G12</f>
        <v>908655</v>
      </c>
      <c r="G146" s="451">
        <f>'План закупок '!H12</f>
        <v>1028755</v>
      </c>
      <c r="H146" s="451">
        <f>'План закупок '!I12</f>
        <v>6723932.203389831</v>
      </c>
      <c r="I146" s="451">
        <f>'План закупок '!J12</f>
        <v>12232305.084745763</v>
      </c>
      <c r="J146" s="451">
        <f>'План закупок '!K12</f>
        <v>18276864.40677966</v>
      </c>
      <c r="K146" s="451">
        <f>'План закупок '!L12</f>
        <v>668220.3389830508</v>
      </c>
      <c r="L146" s="451">
        <f>'План закупок '!M12</f>
        <v>427661.0169491526</v>
      </c>
      <c r="M146" s="451">
        <f>'План закупок '!N12</f>
        <v>0</v>
      </c>
      <c r="N146" s="451">
        <f>'План закупок '!O12</f>
        <v>0</v>
      </c>
      <c r="O146" s="452">
        <f>'План закупок '!P12</f>
        <v>0</v>
      </c>
    </row>
    <row r="147" spans="1:15" ht="12.75" hidden="1">
      <c r="A147" s="47"/>
      <c r="B147" s="449" t="s">
        <v>324</v>
      </c>
      <c r="C147" s="428" t="str">
        <f>VLOOKUP(B147,Справочники!$B:$F,3,FALSE)</f>
        <v>Серверные решения</v>
      </c>
      <c r="D147" s="603" t="e">
        <f>'План закупок '!#REF!</f>
        <v>#REF!</v>
      </c>
      <c r="E147" s="438" t="e">
        <f>'План закупок '!#REF!</f>
        <v>#REF!</v>
      </c>
      <c r="F147" s="438" t="e">
        <f>'План закупок '!#REF!</f>
        <v>#REF!</v>
      </c>
      <c r="G147" s="438" t="e">
        <f>'План закупок '!#REF!</f>
        <v>#REF!</v>
      </c>
      <c r="H147" s="438" t="e">
        <f>'План закупок '!#REF!</f>
        <v>#REF!</v>
      </c>
      <c r="I147" s="438" t="e">
        <f>'План закупок '!#REF!</f>
        <v>#REF!</v>
      </c>
      <c r="J147" s="438" t="e">
        <f>'План закупок '!#REF!</f>
        <v>#REF!</v>
      </c>
      <c r="K147" s="438" t="e">
        <f>'План закупок '!#REF!</f>
        <v>#REF!</v>
      </c>
      <c r="L147" s="438" t="e">
        <f>'План закупок '!#REF!</f>
        <v>#REF!</v>
      </c>
      <c r="M147" s="438" t="e">
        <f>'План закупок '!#REF!</f>
        <v>#REF!</v>
      </c>
      <c r="N147" s="438" t="e">
        <f>'План закупок '!#REF!</f>
        <v>#REF!</v>
      </c>
      <c r="O147" s="453" t="e">
        <f>'План закупок '!#REF!</f>
        <v>#REF!</v>
      </c>
    </row>
    <row r="148" spans="1:15" ht="12.75" hidden="1">
      <c r="A148" s="47"/>
      <c r="B148" s="449" t="s">
        <v>325</v>
      </c>
      <c r="C148" s="428" t="str">
        <f>VLOOKUP(B148,Справочники!$B:$F,3,FALSE)</f>
        <v>Системы хранения данных</v>
      </c>
      <c r="D148" s="603" t="e">
        <f>'План закупок '!#REF!</f>
        <v>#REF!</v>
      </c>
      <c r="E148" s="438" t="e">
        <f>VLOOKUP($B148,#REF!,COLUMN(E:E)-1,FALSE)</f>
        <v>#REF!</v>
      </c>
      <c r="F148" s="438" t="e">
        <f>VLOOKUP($B148,#REF!,COLUMN(F:F)-1,FALSE)</f>
        <v>#REF!</v>
      </c>
      <c r="G148" s="438" t="e">
        <f>VLOOKUP($B148,#REF!,COLUMN(G:G)-1,FALSE)</f>
        <v>#REF!</v>
      </c>
      <c r="H148" s="438" t="e">
        <f>VLOOKUP($B148,#REF!,COLUMN(H:H)-1,FALSE)</f>
        <v>#REF!</v>
      </c>
      <c r="I148" s="438" t="e">
        <f>VLOOKUP($B148,#REF!,COLUMN(I:I)-1,FALSE)</f>
        <v>#REF!</v>
      </c>
      <c r="J148" s="438" t="e">
        <f>VLOOKUP($B148,#REF!,COLUMN(J:J)-1,FALSE)</f>
        <v>#REF!</v>
      </c>
      <c r="K148" s="438" t="e">
        <f>VLOOKUP($B148,#REF!,COLUMN(K:K)-1,FALSE)</f>
        <v>#REF!</v>
      </c>
      <c r="L148" s="438" t="e">
        <f>VLOOKUP($B148,#REF!,COLUMN(L:L)-1,FALSE)</f>
        <v>#REF!</v>
      </c>
      <c r="M148" s="438" t="e">
        <f>VLOOKUP($B148,#REF!,COLUMN(M:M)-1,FALSE)</f>
        <v>#REF!</v>
      </c>
      <c r="N148" s="438" t="e">
        <f>VLOOKUP($B148,#REF!,COLUMN(N:N)-1,FALSE)</f>
        <v>#REF!</v>
      </c>
      <c r="O148" s="453" t="e">
        <f>VLOOKUP($B148,#REF!,COLUMN(O:O)-1,FALSE)</f>
        <v>#REF!</v>
      </c>
    </row>
    <row r="149" spans="1:15" ht="12.75" hidden="1">
      <c r="A149" s="47"/>
      <c r="B149" s="449" t="s">
        <v>326</v>
      </c>
      <c r="C149" s="428" t="str">
        <f>VLOOKUP(B149,Справочники!$B:$F,3,FALSE)</f>
        <v>Програмное обеспечение</v>
      </c>
      <c r="D149" s="603" t="e">
        <f>'План закупок '!#REF!</f>
        <v>#REF!</v>
      </c>
      <c r="E149" s="438" t="e">
        <f>'План закупок '!#REF!</f>
        <v>#REF!</v>
      </c>
      <c r="F149" s="438" t="e">
        <f>'План закупок '!#REF!</f>
        <v>#REF!</v>
      </c>
      <c r="G149" s="438" t="e">
        <f>'План закупок '!#REF!</f>
        <v>#REF!</v>
      </c>
      <c r="H149" s="438" t="e">
        <f>'План закупок '!#REF!</f>
        <v>#REF!</v>
      </c>
      <c r="I149" s="438" t="e">
        <f>'План закупок '!#REF!</f>
        <v>#REF!</v>
      </c>
      <c r="J149" s="438" t="e">
        <f>'План закупок '!#REF!</f>
        <v>#REF!</v>
      </c>
      <c r="K149" s="438" t="e">
        <f>'План закупок '!#REF!</f>
        <v>#REF!</v>
      </c>
      <c r="L149" s="438" t="e">
        <f>'План закупок '!#REF!</f>
        <v>#REF!</v>
      </c>
      <c r="M149" s="438" t="e">
        <f>'План закупок '!#REF!</f>
        <v>#REF!</v>
      </c>
      <c r="N149" s="438" t="e">
        <f>'План закупок '!#REF!</f>
        <v>#REF!</v>
      </c>
      <c r="O149" s="453" t="e">
        <f>'План закупок '!#REF!</f>
        <v>#REF!</v>
      </c>
    </row>
    <row r="150" spans="1:15" ht="12.75" hidden="1">
      <c r="A150" s="47"/>
      <c r="B150" s="449" t="s">
        <v>327</v>
      </c>
      <c r="C150" s="428" t="str">
        <f>VLOOKUP(B150,Справочники!$B:$F,3,FALSE)</f>
        <v>Услуги</v>
      </c>
      <c r="D150" s="603" t="e">
        <f>'План закупок '!#REF!</f>
        <v>#REF!</v>
      </c>
      <c r="E150" s="438" t="e">
        <f>'План закупок '!#REF!</f>
        <v>#REF!</v>
      </c>
      <c r="F150" s="438" t="e">
        <f>'План закупок '!#REF!</f>
        <v>#REF!</v>
      </c>
      <c r="G150" s="438" t="e">
        <f>'План закупок '!#REF!</f>
        <v>#REF!</v>
      </c>
      <c r="H150" s="438" t="e">
        <f>'План закупок '!#REF!</f>
        <v>#REF!</v>
      </c>
      <c r="I150" s="438" t="e">
        <f>'План закупок '!#REF!</f>
        <v>#REF!</v>
      </c>
      <c r="J150" s="438" t="e">
        <f>'План закупок '!#REF!</f>
        <v>#REF!</v>
      </c>
      <c r="K150" s="438" t="e">
        <f>'План закупок '!#REF!</f>
        <v>#REF!</v>
      </c>
      <c r="L150" s="438" t="e">
        <f>'План закупок '!#REF!</f>
        <v>#REF!</v>
      </c>
      <c r="M150" s="438" t="e">
        <f>'План закупок '!#REF!</f>
        <v>#REF!</v>
      </c>
      <c r="N150" s="438" t="e">
        <f>'План закупок '!#REF!</f>
        <v>#REF!</v>
      </c>
      <c r="O150" s="453" t="e">
        <f>'План закупок '!#REF!</f>
        <v>#REF!</v>
      </c>
    </row>
    <row r="151" spans="1:15" ht="12.75" hidden="1">
      <c r="A151" s="481"/>
      <c r="B151" s="449" t="s">
        <v>328</v>
      </c>
      <c r="C151" s="428" t="str">
        <f>VLOOKUP(B151,Справочники!$B:$F,3,FALSE)</f>
        <v>Адаптер</v>
      </c>
      <c r="D151" s="666" t="e">
        <f>'План закупок '!#REF!</f>
        <v>#REF!</v>
      </c>
      <c r="E151" s="667" t="e">
        <f>'План закупок '!#REF!</f>
        <v>#REF!</v>
      </c>
      <c r="F151" s="667" t="e">
        <f>'План закупок '!#REF!</f>
        <v>#REF!</v>
      </c>
      <c r="G151" s="667" t="e">
        <f>'План закупок '!#REF!</f>
        <v>#REF!</v>
      </c>
      <c r="H151" s="667" t="e">
        <f>'План закупок '!#REF!</f>
        <v>#REF!</v>
      </c>
      <c r="I151" s="667" t="e">
        <f>'План закупок '!#REF!</f>
        <v>#REF!</v>
      </c>
      <c r="J151" s="667" t="e">
        <f>'План закупок '!#REF!</f>
        <v>#REF!</v>
      </c>
      <c r="K151" s="667" t="e">
        <f>'План закупок '!#REF!</f>
        <v>#REF!</v>
      </c>
      <c r="L151" s="667" t="e">
        <f>'План закупок '!#REF!</f>
        <v>#REF!</v>
      </c>
      <c r="M151" s="667" t="e">
        <f>'План закупок '!#REF!</f>
        <v>#REF!</v>
      </c>
      <c r="N151" s="667" t="e">
        <f>'План закупок '!#REF!</f>
        <v>#REF!</v>
      </c>
      <c r="O151" s="668" t="e">
        <f>'План закупок '!#REF!</f>
        <v>#REF!</v>
      </c>
    </row>
    <row r="152" spans="1:15" ht="12.75" hidden="1">
      <c r="A152" s="481"/>
      <c r="B152" s="449" t="s">
        <v>280</v>
      </c>
      <c r="C152" s="428" t="str">
        <f>VLOOKUP(B152,Справочники!$B:$F,3,FALSE)</f>
        <v>Продукт N - (Гос. Инвестиции)</v>
      </c>
      <c r="D152" s="666" t="e">
        <f>'План закупок '!#REF!</f>
        <v>#REF!</v>
      </c>
      <c r="E152" s="667" t="e">
        <f>'План закупок '!#REF!</f>
        <v>#REF!</v>
      </c>
      <c r="F152" s="667" t="e">
        <f>'План закупок '!#REF!</f>
        <v>#REF!</v>
      </c>
      <c r="G152" s="667" t="e">
        <f>'План закупок '!#REF!</f>
        <v>#REF!</v>
      </c>
      <c r="H152" s="667" t="e">
        <f>'План закупок '!#REF!</f>
        <v>#REF!</v>
      </c>
      <c r="I152" s="667" t="e">
        <f>'План закупок '!#REF!</f>
        <v>#REF!</v>
      </c>
      <c r="J152" s="667" t="e">
        <f>'План закупок '!#REF!</f>
        <v>#REF!</v>
      </c>
      <c r="K152" s="667" t="e">
        <f>'План закупок '!#REF!</f>
        <v>#REF!</v>
      </c>
      <c r="L152" s="667" t="e">
        <f>'План закупок '!#REF!</f>
        <v>#REF!</v>
      </c>
      <c r="M152" s="667" t="e">
        <f>'План закупок '!#REF!</f>
        <v>#REF!</v>
      </c>
      <c r="N152" s="667" t="e">
        <f>'План закупок '!#REF!</f>
        <v>#REF!</v>
      </c>
      <c r="O152" s="668" t="e">
        <f>'План закупок '!#REF!</f>
        <v>#REF!</v>
      </c>
    </row>
    <row r="153" spans="1:15" ht="12.75" hidden="1">
      <c r="A153" s="320"/>
      <c r="B153" s="450" t="s">
        <v>281</v>
      </c>
      <c r="C153" s="433" t="e">
        <f>VLOOKUP(B153,Справочники!$B:$F,3,FALSE)</f>
        <v>#N/A</v>
      </c>
      <c r="D153" s="604" t="e">
        <f>'План закупок '!#REF!</f>
        <v>#REF!</v>
      </c>
      <c r="E153" s="454" t="e">
        <f>'План закупок '!#REF!</f>
        <v>#REF!</v>
      </c>
      <c r="F153" s="454" t="e">
        <f>'План закупок '!#REF!</f>
        <v>#REF!</v>
      </c>
      <c r="G153" s="454" t="e">
        <f>'План закупок '!#REF!</f>
        <v>#REF!</v>
      </c>
      <c r="H153" s="454" t="e">
        <f>'План закупок '!#REF!</f>
        <v>#REF!</v>
      </c>
      <c r="I153" s="454" t="e">
        <f>'План закупок '!#REF!</f>
        <v>#REF!</v>
      </c>
      <c r="J153" s="454" t="e">
        <f>'План закупок '!#REF!</f>
        <v>#REF!</v>
      </c>
      <c r="K153" s="454" t="e">
        <f>'План закупок '!#REF!</f>
        <v>#REF!</v>
      </c>
      <c r="L153" s="454" t="e">
        <f>'План закупок '!#REF!</f>
        <v>#REF!</v>
      </c>
      <c r="M153" s="454" t="e">
        <f>'План закупок '!#REF!</f>
        <v>#REF!</v>
      </c>
      <c r="N153" s="454" t="e">
        <f>'План закупок '!#REF!</f>
        <v>#REF!</v>
      </c>
      <c r="O153" s="455" t="e">
        <f>'План закупок '!#REF!</f>
        <v>#REF!</v>
      </c>
    </row>
    <row r="154" ht="12.75" hidden="1"/>
    <row r="155" ht="12.75" hidden="1"/>
  </sheetData>
  <sheetProtection/>
  <mergeCells count="28">
    <mergeCell ref="B4:H4"/>
    <mergeCell ref="I60:I61"/>
    <mergeCell ref="J60:J61"/>
    <mergeCell ref="O60:O61"/>
    <mergeCell ref="K60:K61"/>
    <mergeCell ref="L60:L61"/>
    <mergeCell ref="M60:M61"/>
    <mergeCell ref="N60:N61"/>
    <mergeCell ref="M9:M10"/>
    <mergeCell ref="D9:G9"/>
    <mergeCell ref="D60:G60"/>
    <mergeCell ref="A9:A10"/>
    <mergeCell ref="A60:A61"/>
    <mergeCell ref="B60:B61"/>
    <mergeCell ref="C60:C61"/>
    <mergeCell ref="B9:B10"/>
    <mergeCell ref="B55:O55"/>
    <mergeCell ref="H60:H61"/>
    <mergeCell ref="B138:O138"/>
    <mergeCell ref="B108:O108"/>
    <mergeCell ref="H9:H10"/>
    <mergeCell ref="I9:I10"/>
    <mergeCell ref="N9:N10"/>
    <mergeCell ref="O9:O10"/>
    <mergeCell ref="C9:C10"/>
    <mergeCell ref="J9:J10"/>
    <mergeCell ref="K9:K10"/>
    <mergeCell ref="L9:L10"/>
  </mergeCells>
  <hyperlinks>
    <hyperlink ref="B1" location="Содержание!A1" display="Вернуться к содержанию"/>
  </hyperlinks>
  <printOptions/>
  <pageMargins left="0.44" right="0.75" top="0.67" bottom="0.57" header="0.36" footer="0.3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25390625" style="216" bestFit="1" customWidth="1"/>
    <col min="2" max="2" width="34.375" style="216" customWidth="1"/>
    <col min="3" max="3" width="39.625" style="216" customWidth="1"/>
    <col min="4" max="4" width="12.75390625" style="216" bestFit="1" customWidth="1"/>
    <col min="5" max="11" width="11.625" style="216" bestFit="1" customWidth="1"/>
    <col min="12" max="14" width="9.125" style="216" customWidth="1"/>
    <col min="15" max="15" width="9.625" style="216" customWidth="1"/>
    <col min="16" max="16" width="9.375" style="216" customWidth="1"/>
    <col min="17" max="17" width="11.25390625" style="216" bestFit="1" customWidth="1"/>
    <col min="18" max="16384" width="9.125" style="216" customWidth="1"/>
  </cols>
  <sheetData>
    <row r="1" spans="1:3" s="2" customFormat="1" ht="12.75">
      <c r="A1" s="6" t="s">
        <v>129</v>
      </c>
      <c r="B1" s="7"/>
      <c r="C1" s="8"/>
    </row>
    <row r="2" ht="12.75"/>
    <row r="3" spans="2:21" s="2" customFormat="1" ht="30" customHeight="1">
      <c r="B3" s="1111" t="s">
        <v>715</v>
      </c>
      <c r="C3" s="1111"/>
      <c r="D3" s="1111"/>
      <c r="E3" s="1111"/>
      <c r="F3" s="1111"/>
      <c r="G3" s="1111"/>
      <c r="H3" s="1111"/>
      <c r="I3" s="1111"/>
      <c r="J3" s="1111"/>
      <c r="K3" s="1111"/>
      <c r="L3" s="1111"/>
      <c r="M3" s="1111"/>
      <c r="N3" s="1111"/>
      <c r="O3" s="1111"/>
      <c r="P3" s="1111"/>
      <c r="Q3" s="1111"/>
      <c r="R3" s="357"/>
      <c r="S3" s="357"/>
      <c r="T3" s="357"/>
      <c r="U3" s="357"/>
    </row>
    <row r="4" ht="12.75"/>
    <row r="5" ht="12.75"/>
    <row r="6" ht="12.75"/>
    <row r="7" ht="12.75"/>
    <row r="8" spans="1:17" s="12" customFormat="1" ht="12.75">
      <c r="A8" s="1145" t="s">
        <v>264</v>
      </c>
      <c r="B8" s="1145" t="s">
        <v>186</v>
      </c>
      <c r="C8" s="1145" t="s">
        <v>720</v>
      </c>
      <c r="D8" s="1137">
        <f>E8-1</f>
        <v>2005</v>
      </c>
      <c r="E8" s="1129">
        <f>Параметры!D3</f>
        <v>2006</v>
      </c>
      <c r="F8" s="1130"/>
      <c r="G8" s="1130"/>
      <c r="H8" s="1131"/>
      <c r="I8" s="1137">
        <f>E8+1</f>
        <v>2007</v>
      </c>
      <c r="J8" s="1137">
        <f aca="true" t="shared" si="0" ref="J8:P8">I8+1</f>
        <v>2008</v>
      </c>
      <c r="K8" s="1137">
        <f t="shared" si="0"/>
        <v>2009</v>
      </c>
      <c r="L8" s="1137">
        <f t="shared" si="0"/>
        <v>2010</v>
      </c>
      <c r="M8" s="1137">
        <f t="shared" si="0"/>
        <v>2011</v>
      </c>
      <c r="N8" s="1137">
        <f t="shared" si="0"/>
        <v>2012</v>
      </c>
      <c r="O8" s="1137">
        <f t="shared" si="0"/>
        <v>2013</v>
      </c>
      <c r="P8" s="1137">
        <f t="shared" si="0"/>
        <v>2014</v>
      </c>
      <c r="Q8" s="1137" t="s">
        <v>217</v>
      </c>
    </row>
    <row r="9" spans="1:17" s="12" customFormat="1" ht="12.75">
      <c r="A9" s="1146"/>
      <c r="B9" s="1146"/>
      <c r="C9" s="1146"/>
      <c r="D9" s="1138"/>
      <c r="E9" s="763" t="s">
        <v>725</v>
      </c>
      <c r="F9" s="763" t="s">
        <v>726</v>
      </c>
      <c r="G9" s="763" t="s">
        <v>727</v>
      </c>
      <c r="H9" s="763" t="s">
        <v>728</v>
      </c>
      <c r="I9" s="1138"/>
      <c r="J9" s="1138"/>
      <c r="K9" s="1138"/>
      <c r="L9" s="1138"/>
      <c r="M9" s="1138"/>
      <c r="N9" s="1138"/>
      <c r="O9" s="1138"/>
      <c r="P9" s="1138"/>
      <c r="Q9" s="1138"/>
    </row>
    <row r="10" spans="1:17" s="93" customFormat="1" ht="12.75">
      <c r="A10" s="169">
        <v>0</v>
      </c>
      <c r="B10" s="11">
        <v>1</v>
      </c>
      <c r="C10" s="11">
        <f aca="true" t="shared" si="1" ref="C10:P10">B10+1</f>
        <v>2</v>
      </c>
      <c r="D10" s="54">
        <f t="shared" si="1"/>
        <v>3</v>
      </c>
      <c r="E10" s="11">
        <f t="shared" si="1"/>
        <v>4</v>
      </c>
      <c r="F10" s="11">
        <f t="shared" si="1"/>
        <v>5</v>
      </c>
      <c r="G10" s="11">
        <f t="shared" si="1"/>
        <v>6</v>
      </c>
      <c r="H10" s="11">
        <f t="shared" si="1"/>
        <v>7</v>
      </c>
      <c r="I10" s="11">
        <f t="shared" si="1"/>
        <v>8</v>
      </c>
      <c r="J10" s="11">
        <f t="shared" si="1"/>
        <v>9</v>
      </c>
      <c r="K10" s="11">
        <f t="shared" si="1"/>
        <v>10</v>
      </c>
      <c r="L10" s="11">
        <f t="shared" si="1"/>
        <v>11</v>
      </c>
      <c r="M10" s="11">
        <f t="shared" si="1"/>
        <v>12</v>
      </c>
      <c r="N10" s="11">
        <f t="shared" si="1"/>
        <v>13</v>
      </c>
      <c r="O10" s="11">
        <f t="shared" si="1"/>
        <v>14</v>
      </c>
      <c r="P10" s="11">
        <f t="shared" si="1"/>
        <v>15</v>
      </c>
      <c r="Q10" s="11">
        <f>P10+1</f>
        <v>16</v>
      </c>
    </row>
    <row r="11" spans="1:17" ht="12.75">
      <c r="A11" s="1142" t="s">
        <v>11</v>
      </c>
      <c r="B11" s="1139" t="str">
        <f>VLOOKUP(A11,Справочники!$B:$F,3,FALSE)</f>
        <v>Товары для перепродажи</v>
      </c>
      <c r="C11" s="784" t="s">
        <v>153</v>
      </c>
      <c r="D11" s="785"/>
      <c r="E11" s="1040">
        <f>D14</f>
        <v>427392.05526770296</v>
      </c>
      <c r="F11" s="1040">
        <f aca="true" t="shared" si="2" ref="F11:P11">E14</f>
        <v>20350</v>
      </c>
      <c r="G11" s="1040">
        <f t="shared" si="2"/>
        <v>30500</v>
      </c>
      <c r="H11" s="1040">
        <f t="shared" si="2"/>
        <v>35600</v>
      </c>
      <c r="I11" s="1040">
        <f t="shared" si="2"/>
        <v>120000</v>
      </c>
      <c r="J11" s="1040">
        <f t="shared" si="2"/>
        <v>298000</v>
      </c>
      <c r="K11" s="1040">
        <f t="shared" si="2"/>
        <v>400000</v>
      </c>
      <c r="L11" s="1040">
        <f t="shared" si="2"/>
        <v>0</v>
      </c>
      <c r="M11" s="1040">
        <f t="shared" si="2"/>
        <v>0</v>
      </c>
      <c r="N11" s="786">
        <f t="shared" si="2"/>
        <v>0</v>
      </c>
      <c r="O11" s="786">
        <f t="shared" si="2"/>
        <v>0</v>
      </c>
      <c r="P11" s="786">
        <f t="shared" si="2"/>
        <v>0</v>
      </c>
      <c r="Q11" s="425">
        <f>SUM(E11:P11)</f>
        <v>1331842.055267703</v>
      </c>
    </row>
    <row r="12" spans="1:17" ht="12.75">
      <c r="A12" s="1143"/>
      <c r="B12" s="1140"/>
      <c r="C12" s="541" t="s">
        <v>616</v>
      </c>
      <c r="D12" s="542"/>
      <c r="E12" s="1041">
        <f>E14+E13-E11</f>
        <v>192527.94473229704</v>
      </c>
      <c r="F12" s="1041">
        <f aca="true" t="shared" si="3" ref="F12:P12">F14+F13-F11</f>
        <v>818905</v>
      </c>
      <c r="G12" s="1041">
        <f t="shared" si="3"/>
        <v>908655</v>
      </c>
      <c r="H12" s="1041">
        <f t="shared" si="3"/>
        <v>1028755</v>
      </c>
      <c r="I12" s="1041">
        <f t="shared" si="3"/>
        <v>6723932.203389831</v>
      </c>
      <c r="J12" s="1041">
        <f t="shared" si="3"/>
        <v>12232305.084745763</v>
      </c>
      <c r="K12" s="1041">
        <f t="shared" si="3"/>
        <v>18276864.40677966</v>
      </c>
      <c r="L12" s="1041">
        <f t="shared" si="3"/>
        <v>668220.3389830508</v>
      </c>
      <c r="M12" s="1041">
        <f t="shared" si="3"/>
        <v>427661.0169491526</v>
      </c>
      <c r="N12" s="543">
        <f t="shared" si="3"/>
        <v>0</v>
      </c>
      <c r="O12" s="543">
        <f t="shared" si="3"/>
        <v>0</v>
      </c>
      <c r="P12" s="543">
        <f t="shared" si="3"/>
        <v>0</v>
      </c>
      <c r="Q12" s="469">
        <f>SUM(E12:P12)</f>
        <v>41277825.99557976</v>
      </c>
    </row>
    <row r="13" spans="1:17" ht="12.75">
      <c r="A13" s="1143"/>
      <c r="B13" s="1140"/>
      <c r="C13" s="541" t="s">
        <v>617</v>
      </c>
      <c r="D13" s="542"/>
      <c r="E13" s="1041">
        <f>'ОДР '!D19</f>
        <v>599570</v>
      </c>
      <c r="F13" s="1041">
        <f>'ОДР '!E19</f>
        <v>808755</v>
      </c>
      <c r="G13" s="1041">
        <f>'ОДР '!F19</f>
        <v>903555</v>
      </c>
      <c r="H13" s="1041">
        <f>'ОДР '!G19</f>
        <v>944355</v>
      </c>
      <c r="I13" s="1041">
        <f>'ОДР '!H19</f>
        <v>6545932.203389831</v>
      </c>
      <c r="J13" s="1041">
        <f>'ОДР '!I19</f>
        <v>12130305.084745763</v>
      </c>
      <c r="K13" s="1041">
        <f>'ОДР '!J19</f>
        <v>18676864.40677966</v>
      </c>
      <c r="L13" s="1041">
        <f>'ОДР '!K19</f>
        <v>668220.3389830508</v>
      </c>
      <c r="M13" s="1041">
        <f>'ОДР '!L19</f>
        <v>427661.0169491526</v>
      </c>
      <c r="N13" s="543">
        <f>'ОДР '!M19</f>
        <v>0</v>
      </c>
      <c r="O13" s="543">
        <f>'ОДР '!N19</f>
        <v>0</v>
      </c>
      <c r="P13" s="543">
        <f>'ОДР '!O19</f>
        <v>0</v>
      </c>
      <c r="Q13" s="469">
        <f>SUM(E13:P13)</f>
        <v>41705218.05084746</v>
      </c>
    </row>
    <row r="14" spans="1:17" ht="12.75">
      <c r="A14" s="1144"/>
      <c r="B14" s="1141"/>
      <c r="C14" s="1108" t="s">
        <v>618</v>
      </c>
      <c r="D14" s="1044">
        <f>12373000/Параметры!C14</f>
        <v>427392.05526770296</v>
      </c>
      <c r="E14" s="1042">
        <f>'План продаж '!E17*Параметры!D$16</f>
        <v>20350</v>
      </c>
      <c r="F14" s="1042">
        <f>'План продаж '!F17*Параметры!E$16</f>
        <v>30500</v>
      </c>
      <c r="G14" s="1042">
        <f>'План продаж '!G17*Параметры!F$16</f>
        <v>35600</v>
      </c>
      <c r="H14" s="1042">
        <f>'План продаж '!H17*Параметры!G$16</f>
        <v>120000</v>
      </c>
      <c r="I14" s="1042">
        <f>'План продаж '!I17*Параметры!H$16</f>
        <v>298000</v>
      </c>
      <c r="J14" s="1042">
        <f>'План продаж '!J17*Параметры!I$16</f>
        <v>400000</v>
      </c>
      <c r="K14" s="1042">
        <f>'План продаж '!K17*Параметры!J$16</f>
        <v>0</v>
      </c>
      <c r="L14" s="1042">
        <f>'План продаж '!L17*Параметры!K$16</f>
        <v>0</v>
      </c>
      <c r="M14" s="1042">
        <f>'План продаж '!M17*Параметры!L$16</f>
        <v>0</v>
      </c>
      <c r="N14" s="783">
        <f>'План продаж '!N17*Параметры!M$16</f>
        <v>0</v>
      </c>
      <c r="O14" s="783">
        <f>'План продаж '!O17*Параметры!N$16</f>
        <v>0</v>
      </c>
      <c r="P14" s="783">
        <f>'План продаж '!P17*Параметры!O$16</f>
        <v>0</v>
      </c>
      <c r="Q14" s="528">
        <f>SUM(E14:P14)</f>
        <v>904450</v>
      </c>
    </row>
    <row r="15" ht="12.75"/>
    <row r="16" ht="12.75"/>
    <row r="17" ht="12.75"/>
    <row r="19" spans="1:4" s="93" customFormat="1" ht="12.75">
      <c r="A19" s="598"/>
      <c r="B19" s="599"/>
      <c r="C19" s="596"/>
      <c r="D19" s="68"/>
    </row>
    <row r="20" spans="1:17" s="93" customFormat="1" ht="12.75">
      <c r="A20" s="598"/>
      <c r="B20" s="599"/>
      <c r="C20" s="596"/>
      <c r="D20" s="68"/>
      <c r="E20" s="596"/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</row>
    <row r="21" spans="1:17" s="93" customFormat="1" ht="12.75">
      <c r="A21" s="598"/>
      <c r="B21" s="599"/>
      <c r="C21" s="596"/>
      <c r="D21" s="68"/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</row>
    <row r="22" spans="1:17" s="93" customFormat="1" ht="12.75">
      <c r="A22" s="598"/>
      <c r="B22" s="599"/>
      <c r="C22" s="596"/>
      <c r="D22" s="68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7"/>
    </row>
    <row r="23" spans="1:17" s="93" customFormat="1" ht="12.75">
      <c r="A23" s="598"/>
      <c r="B23" s="599"/>
      <c r="C23" s="596"/>
      <c r="D23" s="68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7"/>
    </row>
    <row r="24" spans="1:17" s="93" customFormat="1" ht="12.75">
      <c r="A24" s="598"/>
      <c r="B24" s="599"/>
      <c r="C24" s="596"/>
      <c r="D24" s="68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7"/>
    </row>
    <row r="25" spans="1:17" s="93" customFormat="1" ht="12.75">
      <c r="A25" s="598"/>
      <c r="B25" s="599"/>
      <c r="C25" s="596"/>
      <c r="D25" s="68"/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7"/>
    </row>
    <row r="26" spans="1:17" s="93" customFormat="1" ht="12.75">
      <c r="A26" s="598"/>
      <c r="B26" s="599"/>
      <c r="C26" s="596"/>
      <c r="D26" s="68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7"/>
    </row>
    <row r="27" spans="1:17" s="93" customFormat="1" ht="12.75">
      <c r="A27" s="598"/>
      <c r="B27" s="599"/>
      <c r="C27" s="596"/>
      <c r="D27" s="68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7"/>
    </row>
  </sheetData>
  <sheetProtection/>
  <mergeCells count="17">
    <mergeCell ref="A11:A14"/>
    <mergeCell ref="B3:Q3"/>
    <mergeCell ref="A8:A9"/>
    <mergeCell ref="B8:B9"/>
    <mergeCell ref="C8:C9"/>
    <mergeCell ref="I8:I9"/>
    <mergeCell ref="J8:J9"/>
    <mergeCell ref="D8:D9"/>
    <mergeCell ref="K8:K9"/>
    <mergeCell ref="Q8:Q9"/>
    <mergeCell ref="O8:O9"/>
    <mergeCell ref="P8:P9"/>
    <mergeCell ref="B11:B14"/>
    <mergeCell ref="E8:H8"/>
    <mergeCell ref="N8:N9"/>
    <mergeCell ref="L8:L9"/>
    <mergeCell ref="M8:M9"/>
  </mergeCells>
  <hyperlinks>
    <hyperlink ref="A1" location="Содержание!A1" display="Вернуться к содержанию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70"/>
  <sheetViews>
    <sheetView zoomScale="90" zoomScaleNormal="90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1" sqref="C1"/>
    </sheetView>
  </sheetViews>
  <sheetFormatPr defaultColWidth="9.00390625" defaultRowHeight="12.75" outlineLevelRow="2"/>
  <cols>
    <col min="1" max="1" width="0" style="556" hidden="1" customWidth="1"/>
    <col min="2" max="2" width="9.125" style="2" customWidth="1"/>
    <col min="3" max="3" width="51.00390625" style="2" bestFit="1" customWidth="1"/>
    <col min="4" max="4" width="11.375" style="2" bestFit="1" customWidth="1"/>
    <col min="5" max="5" width="9.875" style="2" customWidth="1"/>
    <col min="6" max="6" width="10.00390625" style="2" customWidth="1"/>
    <col min="7" max="8" width="9.625" style="2" bestFit="1" customWidth="1"/>
    <col min="9" max="10" width="10.00390625" style="2" customWidth="1"/>
    <col min="11" max="12" width="10.25390625" style="2" bestFit="1" customWidth="1"/>
    <col min="13" max="15" width="10.00390625" style="2" customWidth="1"/>
    <col min="16" max="16384" width="9.125" style="2" customWidth="1"/>
  </cols>
  <sheetData>
    <row r="1" spans="2:3" ht="12.75">
      <c r="B1" s="587" t="s">
        <v>129</v>
      </c>
      <c r="C1" s="8"/>
    </row>
    <row r="3" spans="1:15" s="36" customFormat="1" ht="12.75">
      <c r="A3" s="559"/>
      <c r="C3" s="67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</row>
    <row r="4" spans="2:19" ht="30" customHeight="1">
      <c r="B4" s="1136" t="s">
        <v>717</v>
      </c>
      <c r="C4" s="1136"/>
      <c r="D4" s="1136"/>
      <c r="E4" s="1136"/>
      <c r="F4" s="1136"/>
      <c r="G4" s="1136"/>
      <c r="H4" s="1136"/>
      <c r="I4" s="1136"/>
      <c r="J4" s="1136"/>
      <c r="K4" s="1136"/>
      <c r="L4" s="1136"/>
      <c r="M4" s="1136"/>
      <c r="N4" s="1136"/>
      <c r="O4" s="1136"/>
      <c r="P4" s="357"/>
      <c r="Q4" s="357"/>
      <c r="R4" s="357"/>
      <c r="S4" s="357"/>
    </row>
    <row r="5" spans="1:9" s="102" customFormat="1" ht="13.5">
      <c r="A5" s="556"/>
      <c r="C5" s="97"/>
      <c r="D5" s="97"/>
      <c r="E5" s="97"/>
      <c r="G5" s="97"/>
      <c r="H5" s="97"/>
      <c r="I5" s="97"/>
    </row>
    <row r="6" spans="1:9" s="102" customFormat="1" ht="13.5">
      <c r="A6" s="556"/>
      <c r="C6" s="97"/>
      <c r="D6" s="97"/>
      <c r="E6" s="97"/>
      <c r="G6" s="97"/>
      <c r="H6" s="97"/>
      <c r="I6" s="97"/>
    </row>
    <row r="7" spans="1:15" ht="12.75" customHeight="1">
      <c r="A7" s="1135" t="s">
        <v>117</v>
      </c>
      <c r="B7" s="1145" t="s">
        <v>264</v>
      </c>
      <c r="C7" s="1147" t="s">
        <v>186</v>
      </c>
      <c r="D7" s="1129">
        <f>Параметры!D3</f>
        <v>2006</v>
      </c>
      <c r="E7" s="1130"/>
      <c r="F7" s="1130"/>
      <c r="G7" s="1131"/>
      <c r="H7" s="1133">
        <f>D7+1</f>
        <v>2007</v>
      </c>
      <c r="I7" s="1121">
        <f>H7+1</f>
        <v>2008</v>
      </c>
      <c r="J7" s="1121">
        <f aca="true" t="shared" si="0" ref="J7:O7">I7+1</f>
        <v>2009</v>
      </c>
      <c r="K7" s="1121">
        <f t="shared" si="0"/>
        <v>2010</v>
      </c>
      <c r="L7" s="1121">
        <f t="shared" si="0"/>
        <v>2011</v>
      </c>
      <c r="M7" s="1121">
        <f t="shared" si="0"/>
        <v>2012</v>
      </c>
      <c r="N7" s="1121">
        <f t="shared" si="0"/>
        <v>2013</v>
      </c>
      <c r="O7" s="1121">
        <f t="shared" si="0"/>
        <v>2014</v>
      </c>
    </row>
    <row r="8" spans="1:16" s="12" customFormat="1" ht="12.75">
      <c r="A8" s="1135"/>
      <c r="B8" s="1146"/>
      <c r="C8" s="1148"/>
      <c r="D8" s="763" t="s">
        <v>725</v>
      </c>
      <c r="E8" s="763" t="s">
        <v>726</v>
      </c>
      <c r="F8" s="763" t="s">
        <v>727</v>
      </c>
      <c r="G8" s="763" t="s">
        <v>728</v>
      </c>
      <c r="H8" s="1133"/>
      <c r="I8" s="1122"/>
      <c r="J8" s="1122"/>
      <c r="K8" s="1122"/>
      <c r="L8" s="1122"/>
      <c r="M8" s="1122"/>
      <c r="N8" s="1122"/>
      <c r="O8" s="1122"/>
      <c r="P8" s="102"/>
    </row>
    <row r="9" spans="1:16" s="93" customFormat="1" ht="12.75">
      <c r="A9" s="676"/>
      <c r="B9" s="11">
        <v>1</v>
      </c>
      <c r="C9" s="11">
        <f aca="true" t="shared" si="1" ref="C9:O9">B9+1</f>
        <v>2</v>
      </c>
      <c r="D9" s="11">
        <f t="shared" si="1"/>
        <v>3</v>
      </c>
      <c r="E9" s="11">
        <f t="shared" si="1"/>
        <v>4</v>
      </c>
      <c r="F9" s="11">
        <f t="shared" si="1"/>
        <v>5</v>
      </c>
      <c r="G9" s="11">
        <f t="shared" si="1"/>
        <v>6</v>
      </c>
      <c r="H9" s="11">
        <f t="shared" si="1"/>
        <v>7</v>
      </c>
      <c r="I9" s="11">
        <f t="shared" si="1"/>
        <v>8</v>
      </c>
      <c r="J9" s="11">
        <f t="shared" si="1"/>
        <v>9</v>
      </c>
      <c r="K9" s="11">
        <f t="shared" si="1"/>
        <v>10</v>
      </c>
      <c r="L9" s="11">
        <f t="shared" si="1"/>
        <v>11</v>
      </c>
      <c r="M9" s="11">
        <f t="shared" si="1"/>
        <v>12</v>
      </c>
      <c r="N9" s="11">
        <f t="shared" si="1"/>
        <v>13</v>
      </c>
      <c r="O9" s="11">
        <f t="shared" si="1"/>
        <v>14</v>
      </c>
      <c r="P9" s="2"/>
    </row>
    <row r="10" spans="1:16" s="1" customFormat="1" ht="12.75">
      <c r="A10" s="674"/>
      <c r="B10" s="675" t="s">
        <v>295</v>
      </c>
      <c r="C10" s="462" t="str">
        <f>VLOOKUP(B10,Справочники!$B:$F,3,FALSE)</f>
        <v>Материальные затраты</v>
      </c>
      <c r="D10" s="733">
        <f>SUM(D11:D23)</f>
        <v>0</v>
      </c>
      <c r="E10" s="470">
        <f aca="true" t="shared" si="2" ref="E10:O10">SUM(E11:E23)</f>
        <v>0</v>
      </c>
      <c r="F10" s="470">
        <f t="shared" si="2"/>
        <v>0</v>
      </c>
      <c r="G10" s="470">
        <f t="shared" si="2"/>
        <v>0</v>
      </c>
      <c r="H10" s="470">
        <f t="shared" si="2"/>
        <v>0</v>
      </c>
      <c r="I10" s="470">
        <f t="shared" si="2"/>
        <v>0</v>
      </c>
      <c r="J10" s="470">
        <f t="shared" si="2"/>
        <v>0</v>
      </c>
      <c r="K10" s="470">
        <f t="shared" si="2"/>
        <v>0</v>
      </c>
      <c r="L10" s="470">
        <f t="shared" si="2"/>
        <v>0</v>
      </c>
      <c r="M10" s="470">
        <f t="shared" si="2"/>
        <v>0</v>
      </c>
      <c r="N10" s="470">
        <f t="shared" si="2"/>
        <v>0</v>
      </c>
      <c r="O10" s="734">
        <f t="shared" si="2"/>
        <v>0</v>
      </c>
      <c r="P10" s="45"/>
    </row>
    <row r="11" spans="1:16" ht="12.75" outlineLevel="1">
      <c r="A11" s="557"/>
      <c r="B11" s="460" t="s">
        <v>296</v>
      </c>
      <c r="C11" s="473" t="str">
        <f>VLOOKUP(B11,Справочники!$B:$F,3,FALSE)</f>
        <v>Материалы на содержание и ремонт зданий и сооружений</v>
      </c>
      <c r="D11" s="735">
        <v>0</v>
      </c>
      <c r="E11" s="430">
        <v>0</v>
      </c>
      <c r="F11" s="430">
        <v>0</v>
      </c>
      <c r="G11" s="430">
        <v>0</v>
      </c>
      <c r="H11" s="430">
        <v>0</v>
      </c>
      <c r="I11" s="430">
        <v>0</v>
      </c>
      <c r="J11" s="430">
        <v>0</v>
      </c>
      <c r="K11" s="430">
        <v>0</v>
      </c>
      <c r="L11" s="430"/>
      <c r="M11" s="430"/>
      <c r="N11" s="430"/>
      <c r="O11" s="431"/>
      <c r="P11" s="8"/>
    </row>
    <row r="12" spans="1:16" ht="12.75" outlineLevel="1">
      <c r="A12" s="557"/>
      <c r="B12" s="460" t="s">
        <v>297</v>
      </c>
      <c r="C12" s="471" t="str">
        <f>VLOOKUP(B12,Справочники!$B:$F,3,FALSE)</f>
        <v>Материалы на содержание и ремонт транспортных средств</v>
      </c>
      <c r="D12" s="735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1"/>
      <c r="P12" s="8"/>
    </row>
    <row r="13" spans="1:16" ht="12.75" outlineLevel="1">
      <c r="A13" s="557"/>
      <c r="B13" s="460" t="s">
        <v>298</v>
      </c>
      <c r="C13" s="471" t="str">
        <f>VLOOKUP(B13,Справочники!$B:$F,3,FALSE)</f>
        <v>Материалы на содержание и ремонт технол. оборудования</v>
      </c>
      <c r="D13" s="735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1"/>
      <c r="P13" s="8"/>
    </row>
    <row r="14" spans="1:16" ht="12.75" outlineLevel="1">
      <c r="A14" s="557"/>
      <c r="B14" s="460" t="s">
        <v>299</v>
      </c>
      <c r="C14" s="471" t="str">
        <f>VLOOKUP(B14,Справочники!$B:$F,3,FALSE)</f>
        <v>ГСМ</v>
      </c>
      <c r="D14" s="735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1"/>
      <c r="P14" s="8"/>
    </row>
    <row r="15" spans="1:16" ht="12.75" outlineLevel="1">
      <c r="A15" s="557"/>
      <c r="B15" s="460" t="s">
        <v>300</v>
      </c>
      <c r="C15" s="471" t="str">
        <f>VLOOKUP(B15,Справочники!$B:$F,3,FALSE)</f>
        <v>Расходные материалы для компьютерной и офисной техники</v>
      </c>
      <c r="D15" s="735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1"/>
      <c r="P15" s="8"/>
    </row>
    <row r="16" spans="1:16" ht="12.75" outlineLevel="1">
      <c r="A16" s="557"/>
      <c r="B16" s="460" t="s">
        <v>301</v>
      </c>
      <c r="C16" s="471" t="str">
        <f>VLOOKUP(B16,Справочники!$B:$F,3,FALSE)</f>
        <v>Запасные части для компьютерной и офисной техники</v>
      </c>
      <c r="D16" s="735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673"/>
      <c r="P16" s="8"/>
    </row>
    <row r="17" spans="1:16" s="1" customFormat="1" ht="12.75" outlineLevel="1">
      <c r="A17" s="560"/>
      <c r="B17" s="460" t="s">
        <v>302</v>
      </c>
      <c r="C17" s="471" t="str">
        <f>VLOOKUP(B17,Справочники!$B:$F,3,FALSE)</f>
        <v>Хозяйственный инвентарь</v>
      </c>
      <c r="D17" s="735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673"/>
      <c r="P17" s="45"/>
    </row>
    <row r="18" spans="1:16" ht="12.75" outlineLevel="1">
      <c r="A18" s="557"/>
      <c r="B18" s="460" t="s">
        <v>303</v>
      </c>
      <c r="C18" s="473" t="str">
        <f>VLOOKUP(B18,Справочники!$B:$F,3,FALSE)</f>
        <v>Канцелярские товары</v>
      </c>
      <c r="D18" s="735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673"/>
      <c r="P18" s="8"/>
    </row>
    <row r="19" spans="1:16" ht="12.75" outlineLevel="1">
      <c r="A19" s="557"/>
      <c r="B19" s="499" t="s">
        <v>304</v>
      </c>
      <c r="C19" s="498" t="str">
        <f>VLOOKUP(B19,Справочники!$B:$F,3,FALSE)</f>
        <v>Продукты питания</v>
      </c>
      <c r="D19" s="735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1"/>
      <c r="P19" s="8"/>
    </row>
    <row r="20" spans="1:16" ht="12.75" outlineLevel="1">
      <c r="A20" s="557"/>
      <c r="B20" s="460" t="s">
        <v>306</v>
      </c>
      <c r="C20" s="473" t="str">
        <f>VLOOKUP(B20,Справочники!$B:$F,3,FALSE)</f>
        <v>Вода</v>
      </c>
      <c r="D20" s="735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673"/>
      <c r="P20" s="8"/>
    </row>
    <row r="21" spans="1:16" ht="12.75" outlineLevel="1">
      <c r="A21" s="557"/>
      <c r="B21" s="460" t="s">
        <v>307</v>
      </c>
      <c r="C21" s="473" t="str">
        <f>VLOOKUP(B21,Справочники!$B:$F,3,FALSE)</f>
        <v>Материалы для службы охраны</v>
      </c>
      <c r="D21" s="735">
        <v>0</v>
      </c>
      <c r="E21" s="429">
        <v>0</v>
      </c>
      <c r="F21" s="429">
        <v>0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/>
      <c r="M21" s="429"/>
      <c r="N21" s="429"/>
      <c r="O21" s="673"/>
      <c r="P21" s="8"/>
    </row>
    <row r="22" spans="1:16" ht="12.75" outlineLevel="1">
      <c r="A22" s="557"/>
      <c r="B22" s="460" t="s">
        <v>8</v>
      </c>
      <c r="C22" s="473" t="str">
        <f>VLOOKUP(B22,Справочники!$B:$F,3,FALSE)</f>
        <v>Электроэнергия</v>
      </c>
      <c r="D22" s="735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673"/>
      <c r="P22" s="8"/>
    </row>
    <row r="23" spans="1:16" ht="12.75" outlineLevel="1">
      <c r="A23" s="557"/>
      <c r="B23" s="460" t="s">
        <v>76</v>
      </c>
      <c r="C23" s="473" t="str">
        <f>VLOOKUP(B23,Справочники!$B:$F,3,FALSE)</f>
        <v>Прочие материалы</v>
      </c>
      <c r="D23" s="735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673"/>
      <c r="P23" s="8"/>
    </row>
    <row r="24" spans="1:16" s="1" customFormat="1" ht="12.75">
      <c r="A24" s="674"/>
      <c r="B24" s="675" t="s">
        <v>308</v>
      </c>
      <c r="C24" s="462" t="str">
        <f>VLOOKUP(B24,Справочники!$B:$F,3,FALSE)</f>
        <v>Расходы на оплату труда</v>
      </c>
      <c r="D24" s="733">
        <f>SUM(D25:D28)</f>
        <v>54628.5</v>
      </c>
      <c r="E24" s="470">
        <f aca="true" t="shared" si="3" ref="E24:O24">SUM(E25:E28)</f>
        <v>56413.5</v>
      </c>
      <c r="F24" s="470">
        <f t="shared" si="3"/>
        <v>57302.5</v>
      </c>
      <c r="G24" s="470">
        <f t="shared" si="3"/>
        <v>74189</v>
      </c>
      <c r="H24" s="470">
        <f t="shared" si="3"/>
        <v>277506.92090395483</v>
      </c>
      <c r="I24" s="470">
        <f t="shared" si="3"/>
        <v>359982.18926553667</v>
      </c>
      <c r="J24" s="470">
        <f t="shared" si="3"/>
        <v>457401.425141243</v>
      </c>
      <c r="K24" s="470">
        <f t="shared" si="3"/>
        <v>304953.4320621469</v>
      </c>
      <c r="L24" s="470">
        <f t="shared" si="3"/>
        <v>0</v>
      </c>
      <c r="M24" s="470">
        <f t="shared" si="3"/>
        <v>0</v>
      </c>
      <c r="N24" s="470">
        <f t="shared" si="3"/>
        <v>0</v>
      </c>
      <c r="O24" s="734">
        <f t="shared" si="3"/>
        <v>0</v>
      </c>
      <c r="P24" s="45"/>
    </row>
    <row r="25" spans="1:16" ht="12.75" outlineLevel="1">
      <c r="A25" s="557"/>
      <c r="B25" s="460" t="s">
        <v>309</v>
      </c>
      <c r="C25" s="473" t="str">
        <f>VLOOKUP(B25,Справочники!$B:$F,3,FALSE)</f>
        <v>Окладная часть</v>
      </c>
      <c r="D25" s="735">
        <v>49410</v>
      </c>
      <c r="E25" s="429">
        <v>49410</v>
      </c>
      <c r="F25" s="429">
        <v>49410</v>
      </c>
      <c r="G25" s="429">
        <v>49410</v>
      </c>
      <c r="H25" s="429">
        <v>208700</v>
      </c>
      <c r="I25" s="429">
        <f>H25+H25*10%</f>
        <v>229570</v>
      </c>
      <c r="J25" s="429">
        <f>I25+I25*10%</f>
        <v>252527</v>
      </c>
      <c r="K25" s="429">
        <f>J25+J25*10%</f>
        <v>277779.7</v>
      </c>
      <c r="L25" s="429"/>
      <c r="M25" s="429"/>
      <c r="N25" s="429"/>
      <c r="O25" s="673"/>
      <c r="P25" s="8"/>
    </row>
    <row r="26" spans="1:16" ht="12.75" outlineLevel="1">
      <c r="A26" s="557"/>
      <c r="B26" s="460" t="s">
        <v>310</v>
      </c>
      <c r="C26" s="1046" t="str">
        <f>VLOOKUP(B26,Справочники!$B:$F,3,FALSE)</f>
        <v>Бонусы </v>
      </c>
      <c r="D26" s="735">
        <f>('План продаж '!D48-'План продаж '!D42)*0.7%</f>
        <v>5218.499999999999</v>
      </c>
      <c r="E26" s="429">
        <f>('План продаж '!E48-'План продаж '!E42)*0.7%</f>
        <v>7003.5</v>
      </c>
      <c r="F26" s="429">
        <f>('План продаж '!F48-'План продаж '!F42)*0.7%</f>
        <v>7892.499999999999</v>
      </c>
      <c r="G26" s="429">
        <f>('План продаж '!G48-'План продаж '!G42)*0.7%</f>
        <v>8309</v>
      </c>
      <c r="H26" s="429">
        <f>('План продаж '!H48-'План продаж '!H42)*0.5%</f>
        <v>51415.254237288136</v>
      </c>
      <c r="I26" s="429">
        <f>('План продаж '!I48-'План продаж '!I42)*0.5%</f>
        <v>111281.35593220338</v>
      </c>
      <c r="J26" s="429">
        <f>('План продаж '!J48-'План продаж '!J42)*0.5%</f>
        <v>183830.5084745763</v>
      </c>
      <c r="K26" s="429">
        <f>('План продаж '!K48-'План продаж '!K42)*0.5%</f>
        <v>4025.4237288135596</v>
      </c>
      <c r="L26" s="429"/>
      <c r="M26" s="429"/>
      <c r="N26" s="429"/>
      <c r="O26" s="673"/>
      <c r="P26" s="8"/>
    </row>
    <row r="27" spans="1:16" ht="12.75" outlineLevel="1">
      <c r="A27" s="557"/>
      <c r="B27" s="460" t="s">
        <v>311</v>
      </c>
      <c r="C27" s="473" t="str">
        <f>VLOOKUP(B27,Справочники!$B:$F,3,FALSE)</f>
        <v>Вознаграждение по итогам года</v>
      </c>
      <c r="D27" s="735">
        <v>0</v>
      </c>
      <c r="E27" s="429">
        <v>0</v>
      </c>
      <c r="F27" s="429">
        <v>0</v>
      </c>
      <c r="G27" s="429">
        <f>197640/12</f>
        <v>16470</v>
      </c>
      <c r="H27" s="429">
        <f>H25/12</f>
        <v>17391.666666666668</v>
      </c>
      <c r="I27" s="429">
        <f>I25/12</f>
        <v>19130.833333333332</v>
      </c>
      <c r="J27" s="429">
        <f>J25/12</f>
        <v>21043.916666666668</v>
      </c>
      <c r="K27" s="429">
        <f>K25/12</f>
        <v>23148.308333333334</v>
      </c>
      <c r="L27" s="429"/>
      <c r="M27" s="429"/>
      <c r="N27" s="429"/>
      <c r="O27" s="673"/>
      <c r="P27" s="8"/>
    </row>
    <row r="28" spans="1:16" ht="12.75" outlineLevel="1">
      <c r="A28" s="557"/>
      <c r="B28" s="460" t="s">
        <v>7</v>
      </c>
      <c r="C28" s="473" t="str">
        <f>VLOOKUP(B28,Справочники!$B:$F,3,FALSE)</f>
        <v>Сдельная оплата труда</v>
      </c>
      <c r="D28" s="735">
        <v>0</v>
      </c>
      <c r="E28" s="429">
        <v>0</v>
      </c>
      <c r="F28" s="429">
        <v>0</v>
      </c>
      <c r="G28" s="429">
        <v>0</v>
      </c>
      <c r="H28" s="429">
        <v>0</v>
      </c>
      <c r="I28" s="429"/>
      <c r="J28" s="429"/>
      <c r="K28" s="429"/>
      <c r="L28" s="429"/>
      <c r="M28" s="429"/>
      <c r="N28" s="429"/>
      <c r="O28" s="673"/>
      <c r="P28" s="8"/>
    </row>
    <row r="29" spans="1:16" s="1" customFormat="1" ht="12.75">
      <c r="A29" s="674"/>
      <c r="B29" s="675" t="s">
        <v>317</v>
      </c>
      <c r="C29" s="462" t="str">
        <f>VLOOKUP(B29,Справочники!$B:$F,3,FALSE)</f>
        <v>Услуги сторонних организаций</v>
      </c>
      <c r="D29" s="733">
        <f>SUM(D30:D34,D35,D39:D49)</f>
        <v>32461</v>
      </c>
      <c r="E29" s="470">
        <f aca="true" t="shared" si="4" ref="E29:O29">SUM(E30:E34,E35,E39:E49)</f>
        <v>32461</v>
      </c>
      <c r="F29" s="470">
        <f t="shared" si="4"/>
        <v>62461</v>
      </c>
      <c r="G29" s="470">
        <f t="shared" si="4"/>
        <v>62461</v>
      </c>
      <c r="H29" s="470">
        <f t="shared" si="4"/>
        <v>291930</v>
      </c>
      <c r="I29" s="470">
        <f t="shared" si="4"/>
        <v>340047</v>
      </c>
      <c r="J29" s="470">
        <f t="shared" si="4"/>
        <v>392072.7</v>
      </c>
      <c r="K29" s="470">
        <f t="shared" si="4"/>
        <v>97715.47</v>
      </c>
      <c r="L29" s="470">
        <f t="shared" si="4"/>
        <v>0</v>
      </c>
      <c r="M29" s="470">
        <f t="shared" si="4"/>
        <v>0</v>
      </c>
      <c r="N29" s="470">
        <f t="shared" si="4"/>
        <v>0</v>
      </c>
      <c r="O29" s="734">
        <f t="shared" si="4"/>
        <v>0</v>
      </c>
      <c r="P29" s="45"/>
    </row>
    <row r="30" spans="1:16" ht="12.75" outlineLevel="1">
      <c r="A30" s="557"/>
      <c r="B30" s="460" t="s">
        <v>318</v>
      </c>
      <c r="C30" s="473" t="str">
        <f>VLOOKUP(B30,Справочники!$B:$F,3,FALSE)</f>
        <v>Аренда зданий и помещений</v>
      </c>
      <c r="D30" s="735">
        <v>7216</v>
      </c>
      <c r="E30" s="429">
        <v>7216</v>
      </c>
      <c r="F30" s="429">
        <v>7216</v>
      </c>
      <c r="G30" s="429">
        <v>7216</v>
      </c>
      <c r="H30" s="429">
        <v>63060</v>
      </c>
      <c r="I30" s="429">
        <v>69290</v>
      </c>
      <c r="J30" s="429">
        <f>I30</f>
        <v>69290</v>
      </c>
      <c r="K30" s="429">
        <f>J30+J30*5%</f>
        <v>72754.5</v>
      </c>
      <c r="L30" s="429"/>
      <c r="M30" s="429"/>
      <c r="N30" s="429"/>
      <c r="O30" s="673"/>
      <c r="P30" s="8"/>
    </row>
    <row r="31" spans="1:16" ht="12.75" outlineLevel="1">
      <c r="A31" s="557"/>
      <c r="B31" s="460" t="s">
        <v>319</v>
      </c>
      <c r="C31" s="473" t="str">
        <f>VLOOKUP(B31,Справочники!$B:$F,3,FALSE)</f>
        <v>Услуги по ремонту транспортных средств</v>
      </c>
      <c r="D31" s="735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673"/>
      <c r="P31" s="8"/>
    </row>
    <row r="32" spans="1:16" ht="12.75" outlineLevel="1">
      <c r="A32" s="557"/>
      <c r="B32" s="460" t="s">
        <v>558</v>
      </c>
      <c r="C32" s="473" t="str">
        <f>VLOOKUP(B32,Справочники!$B:$F,3,FALSE)</f>
        <v>Услуги по ремонту зданий и сооружений</v>
      </c>
      <c r="D32" s="735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673"/>
      <c r="P32" s="8"/>
    </row>
    <row r="33" spans="1:16" ht="12.75" outlineLevel="1">
      <c r="A33" s="557"/>
      <c r="B33" s="460" t="s">
        <v>559</v>
      </c>
      <c r="C33" s="473" t="str">
        <f>VLOOKUP(B33,Справочники!$B:$F,3,FALSE)</f>
        <v>Услуги по охране  </v>
      </c>
      <c r="D33" s="735">
        <v>0</v>
      </c>
      <c r="E33" s="429">
        <v>0</v>
      </c>
      <c r="F33" s="429">
        <v>0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/>
      <c r="M33" s="429"/>
      <c r="N33" s="429"/>
      <c r="O33" s="673"/>
      <c r="P33" s="8"/>
    </row>
    <row r="34" spans="1:16" ht="25.5" outlineLevel="1">
      <c r="A34" s="557"/>
      <c r="B34" s="460" t="s">
        <v>560</v>
      </c>
      <c r="C34" s="473" t="str">
        <f>VLOOKUP(B34,Справочники!$B:$F,3,FALSE)</f>
        <v>Услуги по ремонту и обслуж. компьютерной и офисной техники</v>
      </c>
      <c r="D34" s="735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673"/>
      <c r="P34" s="8"/>
    </row>
    <row r="35" spans="1:16" s="1" customFormat="1" ht="12.75" outlineLevel="1">
      <c r="A35" s="674"/>
      <c r="B35" s="460" t="s">
        <v>561</v>
      </c>
      <c r="C35" s="732" t="str">
        <f>VLOOKUP(B35,Справочники!$B:$F,3,FALSE)</f>
        <v>Услуги связи</v>
      </c>
      <c r="D35" s="733">
        <f>SUM(D36:D38)</f>
        <v>1745</v>
      </c>
      <c r="E35" s="470">
        <f aca="true" t="shared" si="5" ref="E35:O35">SUM(E36:E38)</f>
        <v>1745</v>
      </c>
      <c r="F35" s="470">
        <f t="shared" si="5"/>
        <v>1745</v>
      </c>
      <c r="G35" s="470">
        <f t="shared" si="5"/>
        <v>1745</v>
      </c>
      <c r="H35" s="470">
        <f t="shared" si="5"/>
        <v>13870</v>
      </c>
      <c r="I35" s="470">
        <f t="shared" si="5"/>
        <v>15257</v>
      </c>
      <c r="J35" s="470">
        <f t="shared" si="5"/>
        <v>16782.7</v>
      </c>
      <c r="K35" s="470">
        <f t="shared" si="5"/>
        <v>18460.97</v>
      </c>
      <c r="L35" s="470">
        <f t="shared" si="5"/>
        <v>0</v>
      </c>
      <c r="M35" s="470">
        <f t="shared" si="5"/>
        <v>0</v>
      </c>
      <c r="N35" s="470">
        <f t="shared" si="5"/>
        <v>0</v>
      </c>
      <c r="O35" s="734">
        <f t="shared" si="5"/>
        <v>0</v>
      </c>
      <c r="P35" s="45"/>
    </row>
    <row r="36" spans="1:16" ht="12.75" outlineLevel="2">
      <c r="A36" s="557"/>
      <c r="B36" s="460" t="s">
        <v>562</v>
      </c>
      <c r="C36" s="730" t="str">
        <f>VLOOKUP(B36,Справочники!$B:$F,3,FALSE)</f>
        <v>связь мобильная</v>
      </c>
      <c r="D36" s="735">
        <v>0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/>
      <c r="M36" s="429"/>
      <c r="N36" s="429"/>
      <c r="O36" s="673"/>
      <c r="P36" s="8"/>
    </row>
    <row r="37" spans="1:16" ht="12.75" outlineLevel="2">
      <c r="A37" s="557"/>
      <c r="B37" s="460" t="s">
        <v>563</v>
      </c>
      <c r="C37" s="730" t="str">
        <f>VLOOKUP(B37,Справочники!$B:$F,3,FALSE)</f>
        <v>связь стационарная</v>
      </c>
      <c r="D37" s="735">
        <v>875</v>
      </c>
      <c r="E37" s="429">
        <v>875</v>
      </c>
      <c r="F37" s="429">
        <v>875</v>
      </c>
      <c r="G37" s="429">
        <v>875</v>
      </c>
      <c r="H37" s="429">
        <v>6970</v>
      </c>
      <c r="I37" s="429">
        <f aca="true" t="shared" si="6" ref="I37:K38">H37+H37*10%</f>
        <v>7667</v>
      </c>
      <c r="J37" s="429">
        <f t="shared" si="6"/>
        <v>8433.7</v>
      </c>
      <c r="K37" s="429">
        <f t="shared" si="6"/>
        <v>9277.070000000002</v>
      </c>
      <c r="L37" s="429"/>
      <c r="M37" s="429"/>
      <c r="N37" s="429"/>
      <c r="O37" s="673"/>
      <c r="P37" s="8"/>
    </row>
    <row r="38" spans="1:16" ht="12.75" outlineLevel="2">
      <c r="A38" s="557"/>
      <c r="B38" s="460" t="s">
        <v>564</v>
      </c>
      <c r="C38" s="730" t="str">
        <f>VLOOKUP(B38,Справочники!$B:$F,3,FALSE)</f>
        <v>интернет</v>
      </c>
      <c r="D38" s="735">
        <v>870</v>
      </c>
      <c r="E38" s="429">
        <v>870</v>
      </c>
      <c r="F38" s="429">
        <v>870</v>
      </c>
      <c r="G38" s="429">
        <v>870</v>
      </c>
      <c r="H38" s="429">
        <v>6900</v>
      </c>
      <c r="I38" s="429">
        <f t="shared" si="6"/>
        <v>7590</v>
      </c>
      <c r="J38" s="429">
        <f t="shared" si="6"/>
        <v>8349</v>
      </c>
      <c r="K38" s="429">
        <f t="shared" si="6"/>
        <v>9183.9</v>
      </c>
      <c r="L38" s="429"/>
      <c r="M38" s="429"/>
      <c r="N38" s="429"/>
      <c r="O38" s="673"/>
      <c r="P38" s="8"/>
    </row>
    <row r="39" spans="1:16" ht="12.75" outlineLevel="1">
      <c r="A39" s="557"/>
      <c r="B39" s="460" t="s">
        <v>565</v>
      </c>
      <c r="C39" s="473" t="str">
        <f>VLOOKUP(B39,Справочники!$B:$F,3,FALSE)</f>
        <v>Коммунальные услуги</v>
      </c>
      <c r="D39" s="735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673"/>
      <c r="P39" s="8"/>
    </row>
    <row r="40" spans="1:16" ht="12.75" outlineLevel="1">
      <c r="A40" s="557"/>
      <c r="B40" s="460" t="s">
        <v>566</v>
      </c>
      <c r="C40" s="473" t="str">
        <f>VLOOKUP(B40,Справочники!$B:$F,3,FALSE)</f>
        <v>Аудиторские услуги</v>
      </c>
      <c r="D40" s="735">
        <v>0</v>
      </c>
      <c r="E40" s="429">
        <v>0</v>
      </c>
      <c r="F40" s="429">
        <v>0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29"/>
      <c r="M40" s="429"/>
      <c r="N40" s="429"/>
      <c r="O40" s="673"/>
      <c r="P40" s="8"/>
    </row>
    <row r="41" spans="1:16" ht="12.75" outlineLevel="1">
      <c r="A41" s="557"/>
      <c r="B41" s="460" t="s">
        <v>567</v>
      </c>
      <c r="C41" s="473" t="str">
        <f>VLOOKUP(B41,Справочники!$B:$F,3,FALSE)</f>
        <v>Юридические услуги</v>
      </c>
      <c r="D41" s="735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673"/>
      <c r="P41" s="8"/>
    </row>
    <row r="42" spans="1:16" ht="12.75" outlineLevel="1">
      <c r="A42" s="557"/>
      <c r="B42" s="460" t="s">
        <v>568</v>
      </c>
      <c r="C42" s="1046" t="str">
        <f>VLOOKUP(B42,Справочники!$B:$F,3,FALSE)</f>
        <v>Услуги пот продвижению и рекламе продукции</v>
      </c>
      <c r="D42" s="735">
        <v>22500</v>
      </c>
      <c r="E42" s="429">
        <v>22500</v>
      </c>
      <c r="F42" s="429">
        <v>52500</v>
      </c>
      <c r="G42" s="429">
        <v>52500</v>
      </c>
      <c r="H42" s="429">
        <v>210000</v>
      </c>
      <c r="I42" s="429">
        <v>250000</v>
      </c>
      <c r="J42" s="429">
        <v>300000</v>
      </c>
      <c r="K42" s="429"/>
      <c r="L42" s="429"/>
      <c r="M42" s="429"/>
      <c r="N42" s="429"/>
      <c r="O42" s="673"/>
      <c r="P42" s="8"/>
    </row>
    <row r="43" spans="1:16" ht="12.75" outlineLevel="1">
      <c r="A43" s="557"/>
      <c r="B43" s="460" t="s">
        <v>569</v>
      </c>
      <c r="C43" s="473" t="str">
        <f>VLOOKUP(B43,Справочники!$B:$F,3,FALSE)</f>
        <v>Консультационные услуги</v>
      </c>
      <c r="D43" s="735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673"/>
      <c r="P43" s="8"/>
    </row>
    <row r="44" spans="1:16" ht="12.75" outlineLevel="1">
      <c r="A44" s="557"/>
      <c r="B44" s="460" t="s">
        <v>570</v>
      </c>
      <c r="C44" s="473" t="str">
        <f>VLOOKUP(B44,Справочники!$B:$F,3,FALSE)</f>
        <v>Услуги банка</v>
      </c>
      <c r="D44" s="735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673"/>
      <c r="P44" s="8"/>
    </row>
    <row r="45" spans="1:16" ht="12.75" outlineLevel="1">
      <c r="A45" s="557"/>
      <c r="B45" s="460" t="s">
        <v>571</v>
      </c>
      <c r="C45" s="473" t="str">
        <f>VLOOKUP(B45,Справочники!$B:$F,3,FALSE)</f>
        <v>Услуги почты</v>
      </c>
      <c r="D45" s="735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673"/>
      <c r="P45" s="8"/>
    </row>
    <row r="46" spans="1:16" ht="12.75" outlineLevel="1">
      <c r="A46" s="557"/>
      <c r="B46" s="460" t="s">
        <v>572</v>
      </c>
      <c r="C46" s="473" t="str">
        <f>VLOOKUP(B46,Справочники!$B:$F,3,FALSE)</f>
        <v>Услуги по по таможенному оформлению </v>
      </c>
      <c r="D46" s="735">
        <v>0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29"/>
      <c r="M46" s="429"/>
      <c r="N46" s="429"/>
      <c r="O46" s="673"/>
      <c r="P46" s="8"/>
    </row>
    <row r="47" spans="1:16" ht="12.75" outlineLevel="1">
      <c r="A47" s="557"/>
      <c r="B47" s="460" t="s">
        <v>573</v>
      </c>
      <c r="C47" s="473" t="str">
        <f>VLOOKUP(B47,Справочники!$B:$F,3,FALSE)</f>
        <v>Транспортные услуги</v>
      </c>
      <c r="D47" s="735">
        <v>1000</v>
      </c>
      <c r="E47" s="429">
        <v>1000</v>
      </c>
      <c r="F47" s="429">
        <v>1000</v>
      </c>
      <c r="G47" s="429">
        <v>1000</v>
      </c>
      <c r="H47" s="429">
        <v>5000</v>
      </c>
      <c r="I47" s="429">
        <v>5500</v>
      </c>
      <c r="J47" s="429">
        <v>6000</v>
      </c>
      <c r="K47" s="429">
        <v>6500</v>
      </c>
      <c r="L47" s="429"/>
      <c r="M47" s="429"/>
      <c r="N47" s="429"/>
      <c r="O47" s="673"/>
      <c r="P47" s="8"/>
    </row>
    <row r="48" spans="1:16" ht="12.75" outlineLevel="1">
      <c r="A48" s="557"/>
      <c r="B48" s="460" t="s">
        <v>705</v>
      </c>
      <c r="C48" s="473" t="str">
        <f>VLOOKUP(B48,Справочники!$B:$F,3,FALSE)</f>
        <v>Роялти</v>
      </c>
      <c r="D48" s="735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673"/>
      <c r="P48" s="8"/>
    </row>
    <row r="49" spans="1:16" ht="12.75" outlineLevel="1">
      <c r="A49" s="557"/>
      <c r="B49" s="460" t="s">
        <v>785</v>
      </c>
      <c r="C49" s="473" t="str">
        <f>VLOOKUP(B49,Справочники!$B:$F,3,FALSE)</f>
        <v>Прочие услуги </v>
      </c>
      <c r="D49" s="735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673"/>
      <c r="P49" s="8"/>
    </row>
    <row r="50" spans="1:16" s="1" customFormat="1" ht="12.75">
      <c r="A50" s="674"/>
      <c r="B50" s="675" t="s">
        <v>115</v>
      </c>
      <c r="C50" s="462" t="str">
        <f>VLOOKUP(B50,Справочники!$B:$F,3,FALSE)</f>
        <v>Прочие расходы</v>
      </c>
      <c r="D50" s="733">
        <f aca="true" t="shared" si="7" ref="D50:O50">SUM(D51:D57)</f>
        <v>0</v>
      </c>
      <c r="E50" s="470">
        <f t="shared" si="7"/>
        <v>0</v>
      </c>
      <c r="F50" s="470">
        <f t="shared" si="7"/>
        <v>0</v>
      </c>
      <c r="G50" s="470">
        <f t="shared" si="7"/>
        <v>0</v>
      </c>
      <c r="H50" s="470">
        <f t="shared" si="7"/>
        <v>0</v>
      </c>
      <c r="I50" s="470">
        <f t="shared" si="7"/>
        <v>0</v>
      </c>
      <c r="J50" s="470">
        <f t="shared" si="7"/>
        <v>0</v>
      </c>
      <c r="K50" s="470">
        <f t="shared" si="7"/>
        <v>0</v>
      </c>
      <c r="L50" s="470">
        <f t="shared" si="7"/>
        <v>0</v>
      </c>
      <c r="M50" s="470">
        <f t="shared" si="7"/>
        <v>0</v>
      </c>
      <c r="N50" s="470">
        <f t="shared" si="7"/>
        <v>0</v>
      </c>
      <c r="O50" s="734">
        <f t="shared" si="7"/>
        <v>0</v>
      </c>
      <c r="P50" s="45"/>
    </row>
    <row r="51" spans="1:16" ht="12.75" outlineLevel="1">
      <c r="A51" s="557"/>
      <c r="B51" s="731" t="s">
        <v>116</v>
      </c>
      <c r="C51" s="473" t="str">
        <f>VLOOKUP(B51,Справочники!$B:$F,3,FALSE)</f>
        <v>Судебные расходы и арбитражные сборы</v>
      </c>
      <c r="D51" s="735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673"/>
      <c r="P51" s="8"/>
    </row>
    <row r="52" spans="1:16" ht="12.75" outlineLevel="1">
      <c r="A52" s="557"/>
      <c r="B52" s="731" t="s">
        <v>118</v>
      </c>
      <c r="C52" s="473" t="str">
        <f>VLOOKUP(B52,Справочники!$B:$F,3,FALSE)</f>
        <v>Командировочные расходы</v>
      </c>
      <c r="D52" s="735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673"/>
      <c r="P52" s="8"/>
    </row>
    <row r="53" spans="1:16" ht="12.75" outlineLevel="1">
      <c r="A53" s="557"/>
      <c r="B53" s="731" t="s">
        <v>119</v>
      </c>
      <c r="C53" s="473" t="str">
        <f>VLOOKUP(B53,Справочники!$B:$F,3,FALSE)</f>
        <v>Представительские расходы</v>
      </c>
      <c r="D53" s="735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673"/>
      <c r="P53" s="8"/>
    </row>
    <row r="54" spans="1:16" ht="12.75" outlineLevel="1">
      <c r="A54" s="557"/>
      <c r="B54" s="731" t="s">
        <v>120</v>
      </c>
      <c r="C54" s="473" t="str">
        <f>VLOOKUP(B54,Справочники!$B:$F,3,FALSE)</f>
        <v>Абонентская плата за поддержку ИС</v>
      </c>
      <c r="D54" s="735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673"/>
      <c r="P54" s="8"/>
    </row>
    <row r="55" spans="1:16" ht="12.75" outlineLevel="1">
      <c r="A55" s="557"/>
      <c r="B55" s="731" t="s">
        <v>121</v>
      </c>
      <c r="C55" s="473" t="str">
        <f>VLOOKUP(B55,Справочники!$B:$F,3,FALSE)</f>
        <v>Компенсация за использование личного транспорта</v>
      </c>
      <c r="D55" s="735">
        <v>0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/>
      <c r="M55" s="429"/>
      <c r="N55" s="429"/>
      <c r="O55" s="673"/>
      <c r="P55" s="8"/>
    </row>
    <row r="56" spans="1:16" ht="12.75" outlineLevel="1">
      <c r="A56" s="557"/>
      <c r="B56" s="731" t="s">
        <v>122</v>
      </c>
      <c r="C56" s="473" t="str">
        <f>VLOOKUP(B56,Справочники!$B:$F,3,FALSE)</f>
        <v>Агентские вознаграждения</v>
      </c>
      <c r="D56" s="735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673"/>
      <c r="P56" s="8"/>
    </row>
    <row r="57" spans="1:16" ht="12.75" outlineLevel="1">
      <c r="A57" s="557"/>
      <c r="B57" s="731" t="s">
        <v>136</v>
      </c>
      <c r="C57" s="473" t="str">
        <f>VLOOKUP(B57,Справочники!$B:$F,3,FALSE)</f>
        <v>Прочие</v>
      </c>
      <c r="D57" s="735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673"/>
      <c r="P57" s="8"/>
    </row>
    <row r="58" spans="1:15" s="45" customFormat="1" ht="12.75">
      <c r="A58" s="558"/>
      <c r="B58" s="463"/>
      <c r="C58" s="467" t="s">
        <v>217</v>
      </c>
      <c r="D58" s="538">
        <f>SUM(D10,D24,D29,D50)</f>
        <v>87089.5</v>
      </c>
      <c r="E58" s="464">
        <f aca="true" t="shared" si="8" ref="E58:O58">SUM(E10,E24,E29,E50)</f>
        <v>88874.5</v>
      </c>
      <c r="F58" s="464">
        <f t="shared" si="8"/>
        <v>119763.5</v>
      </c>
      <c r="G58" s="464">
        <f t="shared" si="8"/>
        <v>136650</v>
      </c>
      <c r="H58" s="464">
        <f t="shared" si="8"/>
        <v>569436.9209039549</v>
      </c>
      <c r="I58" s="464">
        <f t="shared" si="8"/>
        <v>700029.1892655366</v>
      </c>
      <c r="J58" s="464">
        <f t="shared" si="8"/>
        <v>849474.125141243</v>
      </c>
      <c r="K58" s="464">
        <f t="shared" si="8"/>
        <v>402668.9020621469</v>
      </c>
      <c r="L58" s="464">
        <f t="shared" si="8"/>
        <v>0</v>
      </c>
      <c r="M58" s="464">
        <f t="shared" si="8"/>
        <v>0</v>
      </c>
      <c r="N58" s="464">
        <f t="shared" si="8"/>
        <v>0</v>
      </c>
      <c r="O58" s="736">
        <f t="shared" si="8"/>
        <v>0</v>
      </c>
    </row>
    <row r="66" spans="4:15" ht="12.75">
      <c r="D66" s="588"/>
      <c r="E66" s="588"/>
      <c r="F66" s="588"/>
      <c r="G66" s="588"/>
      <c r="H66" s="588"/>
      <c r="I66" s="588"/>
      <c r="J66" s="588"/>
      <c r="K66" s="588"/>
      <c r="L66" s="588"/>
      <c r="M66" s="588"/>
      <c r="N66" s="588"/>
      <c r="O66" s="588"/>
    </row>
    <row r="67" spans="4:15" ht="12.75">
      <c r="D67" s="588"/>
      <c r="E67" s="588"/>
      <c r="F67" s="588"/>
      <c r="G67" s="588"/>
      <c r="H67" s="588"/>
      <c r="I67" s="588"/>
      <c r="J67" s="588"/>
      <c r="K67" s="588"/>
      <c r="L67" s="588"/>
      <c r="M67" s="588"/>
      <c r="N67" s="588"/>
      <c r="O67" s="588"/>
    </row>
    <row r="68" spans="4:15" ht="12.75">
      <c r="D68" s="588"/>
      <c r="E68" s="588"/>
      <c r="F68" s="588"/>
      <c r="G68" s="588"/>
      <c r="H68" s="588"/>
      <c r="I68" s="588"/>
      <c r="J68" s="588"/>
      <c r="K68" s="588"/>
      <c r="L68" s="588"/>
      <c r="M68" s="588"/>
      <c r="N68" s="588"/>
      <c r="O68" s="588"/>
    </row>
    <row r="70" spans="4:15" ht="12.75">
      <c r="D70" s="588"/>
      <c r="E70" s="588"/>
      <c r="F70" s="588"/>
      <c r="G70" s="588"/>
      <c r="H70" s="588"/>
      <c r="I70" s="588"/>
      <c r="J70" s="588"/>
      <c r="K70" s="588"/>
      <c r="L70" s="588"/>
      <c r="M70" s="588"/>
      <c r="N70" s="588"/>
      <c r="O70" s="588"/>
    </row>
  </sheetData>
  <sheetProtection/>
  <mergeCells count="13">
    <mergeCell ref="M7:M8"/>
    <mergeCell ref="N7:N8"/>
    <mergeCell ref="O7:O8"/>
    <mergeCell ref="A7:A8"/>
    <mergeCell ref="B7:B8"/>
    <mergeCell ref="C7:C8"/>
    <mergeCell ref="D7:G7"/>
    <mergeCell ref="B4:O4"/>
    <mergeCell ref="H7:H8"/>
    <mergeCell ref="I7:I8"/>
    <mergeCell ref="J7:J8"/>
    <mergeCell ref="K7:K8"/>
    <mergeCell ref="L7:L8"/>
  </mergeCells>
  <hyperlinks>
    <hyperlink ref="B1" location="Содержание!A1" display="Вернуться к содержанию"/>
  </hyperlinks>
  <printOptions/>
  <pageMargins left="0.44" right="0.72" top="0.42" bottom="0.33" header="0.23" footer="0.19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70"/>
  <sheetViews>
    <sheetView zoomScale="90" zoomScaleNormal="90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2" sqref="B12"/>
      <selection pane="bottomRight" activeCell="A1" sqref="A1"/>
    </sheetView>
  </sheetViews>
  <sheetFormatPr defaultColWidth="9.00390625" defaultRowHeight="12.75" outlineLevelRow="2"/>
  <cols>
    <col min="1" max="1" width="0" style="556" hidden="1" customWidth="1"/>
    <col min="2" max="2" width="9.125" style="2" customWidth="1"/>
    <col min="3" max="3" width="51.00390625" style="2" bestFit="1" customWidth="1"/>
    <col min="4" max="4" width="11.375" style="2" bestFit="1" customWidth="1"/>
    <col min="5" max="5" width="9.875" style="2" customWidth="1"/>
    <col min="6" max="6" width="10.00390625" style="2" customWidth="1"/>
    <col min="7" max="8" width="9.625" style="2" bestFit="1" customWidth="1"/>
    <col min="9" max="10" width="10.00390625" style="2" customWidth="1"/>
    <col min="11" max="12" width="10.25390625" style="2" bestFit="1" customWidth="1"/>
    <col min="13" max="15" width="10.00390625" style="2" customWidth="1"/>
    <col min="16" max="16384" width="9.125" style="2" customWidth="1"/>
  </cols>
  <sheetData>
    <row r="1" spans="2:3" ht="12.75">
      <c r="B1" s="587" t="s">
        <v>129</v>
      </c>
      <c r="C1" s="8"/>
    </row>
    <row r="3" spans="1:15" s="36" customFormat="1" ht="12.75">
      <c r="A3" s="559"/>
      <c r="C3" s="67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</row>
    <row r="4" spans="2:19" ht="30" customHeight="1">
      <c r="B4" s="1136" t="s">
        <v>737</v>
      </c>
      <c r="C4" s="1136"/>
      <c r="D4" s="1136"/>
      <c r="E4" s="1136"/>
      <c r="F4" s="1136"/>
      <c r="G4" s="1136"/>
      <c r="H4" s="1136"/>
      <c r="I4" s="1136"/>
      <c r="J4" s="1136"/>
      <c r="K4" s="1136"/>
      <c r="L4" s="1136"/>
      <c r="M4" s="1136"/>
      <c r="N4" s="1136"/>
      <c r="O4" s="1136"/>
      <c r="P4" s="357"/>
      <c r="Q4" s="357"/>
      <c r="R4" s="357"/>
      <c r="S4" s="357"/>
    </row>
    <row r="5" spans="1:9" s="102" customFormat="1" ht="13.5">
      <c r="A5" s="556"/>
      <c r="C5" s="97"/>
      <c r="D5" s="97"/>
      <c r="E5" s="97"/>
      <c r="G5" s="97"/>
      <c r="H5" s="97"/>
      <c r="I5" s="97"/>
    </row>
    <row r="6" spans="1:9" s="102" customFormat="1" ht="13.5">
      <c r="A6" s="556"/>
      <c r="C6" s="97"/>
      <c r="D6" s="97"/>
      <c r="E6" s="97"/>
      <c r="G6" s="97"/>
      <c r="H6" s="97"/>
      <c r="I6" s="97"/>
    </row>
    <row r="7" spans="1:15" ht="12.75" customHeight="1">
      <c r="A7" s="1135" t="s">
        <v>117</v>
      </c>
      <c r="B7" s="1145" t="s">
        <v>264</v>
      </c>
      <c r="C7" s="1147" t="s">
        <v>186</v>
      </c>
      <c r="D7" s="1129">
        <f>Параметры!D3</f>
        <v>2006</v>
      </c>
      <c r="E7" s="1130"/>
      <c r="F7" s="1130"/>
      <c r="G7" s="1131"/>
      <c r="H7" s="1133">
        <f>D7+1</f>
        <v>2007</v>
      </c>
      <c r="I7" s="1121">
        <f>H7+1</f>
        <v>2008</v>
      </c>
      <c r="J7" s="1121">
        <f aca="true" t="shared" si="0" ref="J7:O7">I7+1</f>
        <v>2009</v>
      </c>
      <c r="K7" s="1121">
        <f t="shared" si="0"/>
        <v>2010</v>
      </c>
      <c r="L7" s="1121">
        <f t="shared" si="0"/>
        <v>2011</v>
      </c>
      <c r="M7" s="1121">
        <f t="shared" si="0"/>
        <v>2012</v>
      </c>
      <c r="N7" s="1121">
        <f t="shared" si="0"/>
        <v>2013</v>
      </c>
      <c r="O7" s="1121">
        <f t="shared" si="0"/>
        <v>2014</v>
      </c>
    </row>
    <row r="8" spans="1:16" s="12" customFormat="1" ht="12.75">
      <c r="A8" s="1135"/>
      <c r="B8" s="1146"/>
      <c r="C8" s="1148"/>
      <c r="D8" s="763" t="s">
        <v>725</v>
      </c>
      <c r="E8" s="763" t="s">
        <v>726</v>
      </c>
      <c r="F8" s="763" t="s">
        <v>727</v>
      </c>
      <c r="G8" s="763" t="s">
        <v>728</v>
      </c>
      <c r="H8" s="1133"/>
      <c r="I8" s="1122"/>
      <c r="J8" s="1122"/>
      <c r="K8" s="1122"/>
      <c r="L8" s="1122"/>
      <c r="M8" s="1122"/>
      <c r="N8" s="1122"/>
      <c r="O8" s="1122"/>
      <c r="P8" s="102"/>
    </row>
    <row r="9" spans="1:16" s="93" customFormat="1" ht="12.75">
      <c r="A9" s="676"/>
      <c r="B9" s="11">
        <v>1</v>
      </c>
      <c r="C9" s="11">
        <f aca="true" t="shared" si="1" ref="C9:O9">B9+1</f>
        <v>2</v>
      </c>
      <c r="D9" s="11">
        <f t="shared" si="1"/>
        <v>3</v>
      </c>
      <c r="E9" s="11">
        <f t="shared" si="1"/>
        <v>4</v>
      </c>
      <c r="F9" s="11">
        <f t="shared" si="1"/>
        <v>5</v>
      </c>
      <c r="G9" s="11">
        <f t="shared" si="1"/>
        <v>6</v>
      </c>
      <c r="H9" s="11">
        <f t="shared" si="1"/>
        <v>7</v>
      </c>
      <c r="I9" s="11">
        <f t="shared" si="1"/>
        <v>8</v>
      </c>
      <c r="J9" s="11">
        <f t="shared" si="1"/>
        <v>9</v>
      </c>
      <c r="K9" s="11">
        <f t="shared" si="1"/>
        <v>10</v>
      </c>
      <c r="L9" s="11">
        <f t="shared" si="1"/>
        <v>11</v>
      </c>
      <c r="M9" s="11">
        <f t="shared" si="1"/>
        <v>12</v>
      </c>
      <c r="N9" s="11">
        <f t="shared" si="1"/>
        <v>13</v>
      </c>
      <c r="O9" s="11">
        <f t="shared" si="1"/>
        <v>14</v>
      </c>
      <c r="P9" s="2"/>
    </row>
    <row r="10" spans="1:16" s="1" customFormat="1" ht="12.75">
      <c r="A10" s="674"/>
      <c r="B10" s="675" t="s">
        <v>295</v>
      </c>
      <c r="C10" s="462" t="str">
        <f>VLOOKUP(B10,Справочники!$B:$F,3,FALSE)</f>
        <v>Материальные затраты</v>
      </c>
      <c r="D10" s="733">
        <f>SUM(D11:D23)</f>
        <v>0</v>
      </c>
      <c r="E10" s="470">
        <f aca="true" t="shared" si="2" ref="E10:O10">SUM(E11:E23)</f>
        <v>0</v>
      </c>
      <c r="F10" s="470">
        <f t="shared" si="2"/>
        <v>0</v>
      </c>
      <c r="G10" s="470">
        <f t="shared" si="2"/>
        <v>0</v>
      </c>
      <c r="H10" s="470">
        <f t="shared" si="2"/>
        <v>0</v>
      </c>
      <c r="I10" s="470">
        <f t="shared" si="2"/>
        <v>0</v>
      </c>
      <c r="J10" s="470">
        <f t="shared" si="2"/>
        <v>0</v>
      </c>
      <c r="K10" s="470">
        <f t="shared" si="2"/>
        <v>0</v>
      </c>
      <c r="L10" s="470">
        <f t="shared" si="2"/>
        <v>0</v>
      </c>
      <c r="M10" s="470">
        <f t="shared" si="2"/>
        <v>0</v>
      </c>
      <c r="N10" s="470">
        <f t="shared" si="2"/>
        <v>0</v>
      </c>
      <c r="O10" s="734">
        <f t="shared" si="2"/>
        <v>0</v>
      </c>
      <c r="P10" s="45"/>
    </row>
    <row r="11" spans="1:16" ht="12.75" outlineLevel="1">
      <c r="A11" s="557"/>
      <c r="B11" s="460" t="s">
        <v>296</v>
      </c>
      <c r="C11" s="473" t="str">
        <f>VLOOKUP(B11,Справочники!$B:$F,3,FALSE)</f>
        <v>Материалы на содержание и ремонт зданий и сооружений</v>
      </c>
      <c r="D11" s="735">
        <v>0</v>
      </c>
      <c r="E11" s="430">
        <v>0</v>
      </c>
      <c r="F11" s="430">
        <v>0</v>
      </c>
      <c r="G11" s="430">
        <v>0</v>
      </c>
      <c r="H11" s="430">
        <v>0</v>
      </c>
      <c r="I11" s="430">
        <v>0</v>
      </c>
      <c r="J11" s="430">
        <v>0</v>
      </c>
      <c r="K11" s="430">
        <v>0</v>
      </c>
      <c r="L11" s="430"/>
      <c r="M11" s="430"/>
      <c r="N11" s="430"/>
      <c r="O11" s="431"/>
      <c r="P11" s="8"/>
    </row>
    <row r="12" spans="1:16" ht="12.75" outlineLevel="1">
      <c r="A12" s="557"/>
      <c r="B12" s="460" t="s">
        <v>297</v>
      </c>
      <c r="C12" s="471" t="str">
        <f>VLOOKUP(B12,Справочники!$B:$F,3,FALSE)</f>
        <v>Материалы на содержание и ремонт транспортных средств</v>
      </c>
      <c r="D12" s="735">
        <v>0</v>
      </c>
      <c r="E12" s="430">
        <v>0</v>
      </c>
      <c r="F12" s="430">
        <v>0</v>
      </c>
      <c r="G12" s="430">
        <v>0</v>
      </c>
      <c r="H12" s="430">
        <v>0</v>
      </c>
      <c r="I12" s="430">
        <v>0</v>
      </c>
      <c r="J12" s="430">
        <v>0</v>
      </c>
      <c r="K12" s="430">
        <v>0</v>
      </c>
      <c r="L12" s="430"/>
      <c r="M12" s="430"/>
      <c r="N12" s="430"/>
      <c r="O12" s="431"/>
      <c r="P12" s="8"/>
    </row>
    <row r="13" spans="1:16" ht="12.75" outlineLevel="1">
      <c r="A13" s="557"/>
      <c r="B13" s="460" t="s">
        <v>298</v>
      </c>
      <c r="C13" s="471" t="str">
        <f>VLOOKUP(B13,Справочники!$B:$F,3,FALSE)</f>
        <v>Материалы на содержание и ремонт технол. оборудования</v>
      </c>
      <c r="D13" s="735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1"/>
      <c r="P13" s="8"/>
    </row>
    <row r="14" spans="1:16" ht="12.75" outlineLevel="1">
      <c r="A14" s="557"/>
      <c r="B14" s="460" t="s">
        <v>299</v>
      </c>
      <c r="C14" s="471" t="str">
        <f>VLOOKUP(B14,Справочники!$B:$F,3,FALSE)</f>
        <v>ГСМ</v>
      </c>
      <c r="D14" s="735">
        <v>0</v>
      </c>
      <c r="E14" s="430">
        <v>0</v>
      </c>
      <c r="F14" s="430">
        <v>0</v>
      </c>
      <c r="G14" s="430">
        <v>0</v>
      </c>
      <c r="H14" s="430">
        <v>0</v>
      </c>
      <c r="I14" s="430">
        <v>0</v>
      </c>
      <c r="J14" s="430">
        <v>0</v>
      </c>
      <c r="K14" s="430">
        <v>0</v>
      </c>
      <c r="L14" s="430"/>
      <c r="M14" s="430"/>
      <c r="N14" s="430"/>
      <c r="O14" s="431"/>
      <c r="P14" s="8"/>
    </row>
    <row r="15" spans="1:16" ht="12.75" outlineLevel="1">
      <c r="A15" s="557"/>
      <c r="B15" s="460" t="s">
        <v>300</v>
      </c>
      <c r="C15" s="471" t="str">
        <f>VLOOKUP(B15,Справочники!$B:$F,3,FALSE)</f>
        <v>Расходные материалы для компьютерной и офисной техники</v>
      </c>
      <c r="D15" s="735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1"/>
      <c r="P15" s="8"/>
    </row>
    <row r="16" spans="1:16" ht="12.75" outlineLevel="1">
      <c r="A16" s="557"/>
      <c r="B16" s="460" t="s">
        <v>301</v>
      </c>
      <c r="C16" s="471" t="str">
        <f>VLOOKUP(B16,Справочники!$B:$F,3,FALSE)</f>
        <v>Запасные части для компьютерной и офисной техники</v>
      </c>
      <c r="D16" s="735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673"/>
      <c r="P16" s="8"/>
    </row>
    <row r="17" spans="1:16" s="1" customFormat="1" ht="12.75" outlineLevel="1">
      <c r="A17" s="560"/>
      <c r="B17" s="460" t="s">
        <v>302</v>
      </c>
      <c r="C17" s="471" t="str">
        <f>VLOOKUP(B17,Справочники!$B:$F,3,FALSE)</f>
        <v>Хозяйственный инвентарь</v>
      </c>
      <c r="D17" s="735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673"/>
      <c r="P17" s="45"/>
    </row>
    <row r="18" spans="1:16" ht="12.75" outlineLevel="1">
      <c r="A18" s="557"/>
      <c r="B18" s="460" t="s">
        <v>303</v>
      </c>
      <c r="C18" s="473" t="str">
        <f>VLOOKUP(B18,Справочники!$B:$F,3,FALSE)</f>
        <v>Канцелярские товары</v>
      </c>
      <c r="D18" s="735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673"/>
      <c r="P18" s="8"/>
    </row>
    <row r="19" spans="1:16" ht="12.75" outlineLevel="1">
      <c r="A19" s="557"/>
      <c r="B19" s="499" t="s">
        <v>304</v>
      </c>
      <c r="C19" s="498" t="str">
        <f>VLOOKUP(B19,Справочники!$B:$F,3,FALSE)</f>
        <v>Продукты питания</v>
      </c>
      <c r="D19" s="735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1"/>
      <c r="P19" s="8"/>
    </row>
    <row r="20" spans="1:16" ht="12.75" outlineLevel="1">
      <c r="A20" s="557"/>
      <c r="B20" s="460" t="s">
        <v>306</v>
      </c>
      <c r="C20" s="473" t="str">
        <f>VLOOKUP(B20,Справочники!$B:$F,3,FALSE)</f>
        <v>Вода</v>
      </c>
      <c r="D20" s="735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673"/>
      <c r="P20" s="8"/>
    </row>
    <row r="21" spans="1:16" ht="12.75" outlineLevel="1">
      <c r="A21" s="557"/>
      <c r="B21" s="460" t="s">
        <v>307</v>
      </c>
      <c r="C21" s="473" t="str">
        <f>VLOOKUP(B21,Справочники!$B:$F,3,FALSE)</f>
        <v>Материалы для службы охраны</v>
      </c>
      <c r="D21" s="735">
        <v>0</v>
      </c>
      <c r="E21" s="429">
        <v>0</v>
      </c>
      <c r="F21" s="429">
        <v>0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/>
      <c r="M21" s="429"/>
      <c r="N21" s="429"/>
      <c r="O21" s="673"/>
      <c r="P21" s="8"/>
    </row>
    <row r="22" spans="1:16" ht="12.75" outlineLevel="1">
      <c r="A22" s="557"/>
      <c r="B22" s="460" t="s">
        <v>8</v>
      </c>
      <c r="C22" s="473" t="str">
        <f>VLOOKUP(B22,Справочники!$B:$F,3,FALSE)</f>
        <v>Электроэнергия</v>
      </c>
      <c r="D22" s="735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673"/>
      <c r="P22" s="8"/>
    </row>
    <row r="23" spans="1:16" ht="12.75" outlineLevel="1">
      <c r="A23" s="557"/>
      <c r="B23" s="460" t="s">
        <v>76</v>
      </c>
      <c r="C23" s="473" t="str">
        <f>VLOOKUP(B23,Справочники!$B:$F,3,FALSE)</f>
        <v>Прочие материалы</v>
      </c>
      <c r="D23" s="735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673"/>
      <c r="P23" s="8"/>
    </row>
    <row r="24" spans="1:16" s="1" customFormat="1" ht="12.75">
      <c r="A24" s="674"/>
      <c r="B24" s="675" t="s">
        <v>308</v>
      </c>
      <c r="C24" s="462" t="str">
        <f>VLOOKUP(B24,Справочники!$B:$F,3,FALSE)</f>
        <v>Расходы на оплату труда</v>
      </c>
      <c r="D24" s="733">
        <f>SUM(D25:D28)</f>
        <v>33210</v>
      </c>
      <c r="E24" s="470">
        <f aca="true" t="shared" si="3" ref="E24:O24">SUM(E25:E28)</f>
        <v>33210</v>
      </c>
      <c r="F24" s="470">
        <f t="shared" si="3"/>
        <v>33210</v>
      </c>
      <c r="G24" s="470">
        <f t="shared" si="3"/>
        <v>44280</v>
      </c>
      <c r="H24" s="470">
        <f t="shared" si="3"/>
        <v>171708.33333333334</v>
      </c>
      <c r="I24" s="470">
        <f t="shared" si="3"/>
        <v>188879.16666666666</v>
      </c>
      <c r="J24" s="470">
        <f t="shared" si="3"/>
        <v>207767.08333333334</v>
      </c>
      <c r="K24" s="470">
        <f t="shared" si="3"/>
        <v>228543.79166666666</v>
      </c>
      <c r="L24" s="470">
        <f t="shared" si="3"/>
        <v>0</v>
      </c>
      <c r="M24" s="470">
        <f t="shared" si="3"/>
        <v>0</v>
      </c>
      <c r="N24" s="470">
        <f t="shared" si="3"/>
        <v>0</v>
      </c>
      <c r="O24" s="734">
        <f t="shared" si="3"/>
        <v>0</v>
      </c>
      <c r="P24" s="45"/>
    </row>
    <row r="25" spans="1:16" ht="12.75" outlineLevel="1">
      <c r="A25" s="557"/>
      <c r="B25" s="460" t="s">
        <v>309</v>
      </c>
      <c r="C25" s="473" t="str">
        <f>VLOOKUP(B25,Справочники!$B:$F,3,FALSE)</f>
        <v>Окладная часть</v>
      </c>
      <c r="D25" s="735">
        <v>33210</v>
      </c>
      <c r="E25" s="429">
        <v>33210</v>
      </c>
      <c r="F25" s="429">
        <v>33210</v>
      </c>
      <c r="G25" s="429">
        <v>33210</v>
      </c>
      <c r="H25" s="429">
        <v>158500</v>
      </c>
      <c r="I25" s="429">
        <f>H25+H25*10%</f>
        <v>174350</v>
      </c>
      <c r="J25" s="429">
        <f>I25+I25*10%</f>
        <v>191785</v>
      </c>
      <c r="K25" s="429">
        <f>J25+J25*10%</f>
        <v>210963.5</v>
      </c>
      <c r="L25" s="429"/>
      <c r="M25" s="429"/>
      <c r="N25" s="429"/>
      <c r="O25" s="673"/>
      <c r="P25" s="8"/>
    </row>
    <row r="26" spans="1:16" ht="12.75" outlineLevel="1">
      <c r="A26" s="557"/>
      <c r="B26" s="460" t="s">
        <v>310</v>
      </c>
      <c r="C26" s="473" t="str">
        <f>VLOOKUP(B26,Справочники!$B:$F,3,FALSE)</f>
        <v>Бонусы </v>
      </c>
      <c r="D26" s="735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/>
      <c r="M26" s="429"/>
      <c r="N26" s="429"/>
      <c r="O26" s="673"/>
      <c r="P26" s="8"/>
    </row>
    <row r="27" spans="1:16" ht="12.75" outlineLevel="1">
      <c r="A27" s="557"/>
      <c r="B27" s="460" t="s">
        <v>311</v>
      </c>
      <c r="C27" s="473" t="str">
        <f>VLOOKUP(B27,Справочники!$B:$F,3,FALSE)</f>
        <v>Вознаграждение по итогам года</v>
      </c>
      <c r="D27" s="735">
        <v>0</v>
      </c>
      <c r="E27" s="429">
        <v>0</v>
      </c>
      <c r="F27" s="429">
        <v>0</v>
      </c>
      <c r="G27" s="429">
        <f>132840/12</f>
        <v>11070</v>
      </c>
      <c r="H27" s="429">
        <f>H25/12</f>
        <v>13208.333333333334</v>
      </c>
      <c r="I27" s="429">
        <f>I25/12</f>
        <v>14529.166666666666</v>
      </c>
      <c r="J27" s="429">
        <f>J25/12</f>
        <v>15982.083333333334</v>
      </c>
      <c r="K27" s="429">
        <f>K25/12</f>
        <v>17580.291666666668</v>
      </c>
      <c r="L27" s="429"/>
      <c r="M27" s="429"/>
      <c r="N27" s="429"/>
      <c r="O27" s="673"/>
      <c r="P27" s="8"/>
    </row>
    <row r="28" spans="1:16" ht="12.75" outlineLevel="1">
      <c r="A28" s="557"/>
      <c r="B28" s="460" t="s">
        <v>7</v>
      </c>
      <c r="C28" s="473" t="str">
        <f>VLOOKUP(B28,Справочники!$B:$F,3,FALSE)</f>
        <v>Сдельная оплата труда</v>
      </c>
      <c r="D28" s="735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673"/>
      <c r="P28" s="8"/>
    </row>
    <row r="29" spans="1:16" s="1" customFormat="1" ht="12.75">
      <c r="A29" s="674"/>
      <c r="B29" s="675" t="s">
        <v>317</v>
      </c>
      <c r="C29" s="462" t="str">
        <f>VLOOKUP(B29,Справочники!$B:$F,3,FALSE)</f>
        <v>Услуги сторонних организаций</v>
      </c>
      <c r="D29" s="733">
        <f>SUM(D30:D34,D35,D39:D49)</f>
        <v>27211</v>
      </c>
      <c r="E29" s="470">
        <f aca="true" t="shared" si="4" ref="E29:O29">SUM(E30:E34,E35,E39:E49)</f>
        <v>16411</v>
      </c>
      <c r="F29" s="470">
        <f t="shared" si="4"/>
        <v>16411</v>
      </c>
      <c r="G29" s="470">
        <f t="shared" si="4"/>
        <v>16411</v>
      </c>
      <c r="H29" s="470">
        <f t="shared" si="4"/>
        <v>102200</v>
      </c>
      <c r="I29" s="470">
        <f t="shared" si="4"/>
        <v>95920</v>
      </c>
      <c r="J29" s="470">
        <f t="shared" si="4"/>
        <v>105512</v>
      </c>
      <c r="K29" s="470">
        <f t="shared" si="4"/>
        <v>116063.2</v>
      </c>
      <c r="L29" s="470">
        <f t="shared" si="4"/>
        <v>0</v>
      </c>
      <c r="M29" s="470">
        <f t="shared" si="4"/>
        <v>0</v>
      </c>
      <c r="N29" s="470">
        <f t="shared" si="4"/>
        <v>0</v>
      </c>
      <c r="O29" s="734">
        <f t="shared" si="4"/>
        <v>0</v>
      </c>
      <c r="P29" s="45"/>
    </row>
    <row r="30" spans="1:16" ht="12.75" outlineLevel="1">
      <c r="A30" s="557"/>
      <c r="B30" s="460" t="s">
        <v>318</v>
      </c>
      <c r="C30" s="473" t="str">
        <f>VLOOKUP(B30,Справочники!$B:$F,3,FALSE)</f>
        <v>Аренда зданий и помещений</v>
      </c>
      <c r="D30" s="735">
        <v>15561</v>
      </c>
      <c r="E30" s="429">
        <v>15561</v>
      </c>
      <c r="F30" s="429">
        <v>15561</v>
      </c>
      <c r="G30" s="429">
        <v>15561</v>
      </c>
      <c r="H30" s="429">
        <v>82400</v>
      </c>
      <c r="I30" s="429">
        <v>90640</v>
      </c>
      <c r="J30" s="429">
        <v>99704</v>
      </c>
      <c r="K30" s="429">
        <f>J30+J30*10%</f>
        <v>109674.4</v>
      </c>
      <c r="L30" s="429"/>
      <c r="M30" s="429"/>
      <c r="N30" s="429"/>
      <c r="O30" s="673"/>
      <c r="P30" s="8"/>
    </row>
    <row r="31" spans="1:16" ht="12.75" outlineLevel="1">
      <c r="A31" s="557"/>
      <c r="B31" s="460" t="s">
        <v>319</v>
      </c>
      <c r="C31" s="473" t="str">
        <f>VLOOKUP(B31,Справочники!$B:$F,3,FALSE)</f>
        <v>Услуги по ремонту транспортных средств</v>
      </c>
      <c r="D31" s="735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673"/>
      <c r="P31" s="8"/>
    </row>
    <row r="32" spans="1:16" ht="12.75" outlineLevel="1">
      <c r="A32" s="557"/>
      <c r="B32" s="460" t="s">
        <v>558</v>
      </c>
      <c r="C32" s="473" t="str">
        <f>VLOOKUP(B32,Справочники!$B:$F,3,FALSE)</f>
        <v>Услуги по ремонту зданий и сооружений</v>
      </c>
      <c r="D32" s="735">
        <v>10800</v>
      </c>
      <c r="E32" s="429"/>
      <c r="F32" s="429"/>
      <c r="G32" s="429"/>
      <c r="H32" s="429">
        <v>15000</v>
      </c>
      <c r="I32" s="429"/>
      <c r="J32" s="429"/>
      <c r="K32" s="429"/>
      <c r="L32" s="429"/>
      <c r="M32" s="429"/>
      <c r="N32" s="429"/>
      <c r="O32" s="673"/>
      <c r="P32" s="8"/>
    </row>
    <row r="33" spans="1:16" ht="12.75" outlineLevel="1">
      <c r="A33" s="557"/>
      <c r="B33" s="460" t="s">
        <v>559</v>
      </c>
      <c r="C33" s="473" t="str">
        <f>VLOOKUP(B33,Справочники!$B:$F,3,FALSE)</f>
        <v>Услуги по охране  </v>
      </c>
      <c r="D33" s="735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673"/>
      <c r="P33" s="8"/>
    </row>
    <row r="34" spans="1:16" ht="25.5" outlineLevel="1">
      <c r="A34" s="557"/>
      <c r="B34" s="460" t="s">
        <v>560</v>
      </c>
      <c r="C34" s="473" t="str">
        <f>VLOOKUP(B34,Справочники!$B:$F,3,FALSE)</f>
        <v>Услуги по ремонту и обслуж. компьютерной и офисной техники</v>
      </c>
      <c r="D34" s="735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673"/>
      <c r="P34" s="8"/>
    </row>
    <row r="35" spans="1:16" s="1" customFormat="1" ht="12.75" outlineLevel="1">
      <c r="A35" s="674"/>
      <c r="B35" s="731" t="s">
        <v>561</v>
      </c>
      <c r="C35" s="732" t="str">
        <f>VLOOKUP(B35,Справочники!$B:$F,3,FALSE)</f>
        <v>Услуги связи</v>
      </c>
      <c r="D35" s="733">
        <f>SUM(D36:D38)</f>
        <v>850</v>
      </c>
      <c r="E35" s="470">
        <f aca="true" t="shared" si="5" ref="E35:O35">SUM(E36:E38)</f>
        <v>850</v>
      </c>
      <c r="F35" s="470">
        <f t="shared" si="5"/>
        <v>850</v>
      </c>
      <c r="G35" s="470">
        <f t="shared" si="5"/>
        <v>850</v>
      </c>
      <c r="H35" s="470">
        <f t="shared" si="5"/>
        <v>4800</v>
      </c>
      <c r="I35" s="470">
        <f t="shared" si="5"/>
        <v>5280</v>
      </c>
      <c r="J35" s="470">
        <f t="shared" si="5"/>
        <v>5808</v>
      </c>
      <c r="K35" s="470">
        <f t="shared" si="5"/>
        <v>6388.8</v>
      </c>
      <c r="L35" s="470">
        <f t="shared" si="5"/>
        <v>0</v>
      </c>
      <c r="M35" s="470">
        <f t="shared" si="5"/>
        <v>0</v>
      </c>
      <c r="N35" s="470">
        <f t="shared" si="5"/>
        <v>0</v>
      </c>
      <c r="O35" s="734">
        <f t="shared" si="5"/>
        <v>0</v>
      </c>
      <c r="P35" s="45"/>
    </row>
    <row r="36" spans="1:16" ht="12.75" outlineLevel="2">
      <c r="A36" s="557"/>
      <c r="B36" s="460" t="s">
        <v>562</v>
      </c>
      <c r="C36" s="730" t="str">
        <f>VLOOKUP(B36,Справочники!$B:$F,3,FALSE)</f>
        <v>связь мобильная</v>
      </c>
      <c r="D36" s="735">
        <v>0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/>
      <c r="M36" s="429"/>
      <c r="N36" s="429"/>
      <c r="O36" s="673"/>
      <c r="P36" s="8"/>
    </row>
    <row r="37" spans="1:16" ht="12.75" outlineLevel="2">
      <c r="A37" s="557"/>
      <c r="B37" s="460" t="s">
        <v>563</v>
      </c>
      <c r="C37" s="730" t="str">
        <f>VLOOKUP(B37,Справочники!$B:$F,3,FALSE)</f>
        <v>связь стационарная</v>
      </c>
      <c r="D37" s="735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673"/>
      <c r="P37" s="8"/>
    </row>
    <row r="38" spans="1:16" ht="12.75" outlineLevel="2">
      <c r="A38" s="557"/>
      <c r="B38" s="460" t="s">
        <v>564</v>
      </c>
      <c r="C38" s="730" t="str">
        <f>VLOOKUP(B38,Справочники!$B:$F,3,FALSE)</f>
        <v>интернет</v>
      </c>
      <c r="D38" s="735">
        <v>850</v>
      </c>
      <c r="E38" s="429">
        <v>850</v>
      </c>
      <c r="F38" s="429">
        <v>850</v>
      </c>
      <c r="G38" s="429">
        <v>850</v>
      </c>
      <c r="H38" s="429">
        <v>4800</v>
      </c>
      <c r="I38" s="429">
        <f>H38+H38*10%</f>
        <v>5280</v>
      </c>
      <c r="J38" s="429">
        <f>I38+I38*10%</f>
        <v>5808</v>
      </c>
      <c r="K38" s="429">
        <f>J38+J38*10%</f>
        <v>6388.8</v>
      </c>
      <c r="L38" s="429"/>
      <c r="M38" s="429"/>
      <c r="N38" s="429"/>
      <c r="O38" s="673"/>
      <c r="P38" s="8"/>
    </row>
    <row r="39" spans="1:16" ht="12.75" outlineLevel="1">
      <c r="A39" s="557"/>
      <c r="B39" s="460" t="s">
        <v>565</v>
      </c>
      <c r="C39" s="473" t="str">
        <f>VLOOKUP(B39,Справочники!$B:$F,3,FALSE)</f>
        <v>Коммунальные услуги</v>
      </c>
      <c r="D39" s="735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673"/>
      <c r="P39" s="8"/>
    </row>
    <row r="40" spans="1:16" ht="12.75" outlineLevel="1">
      <c r="A40" s="557"/>
      <c r="B40" s="460" t="s">
        <v>566</v>
      </c>
      <c r="C40" s="473" t="str">
        <f>VLOOKUP(B40,Справочники!$B:$F,3,FALSE)</f>
        <v>Аудиторские услуги</v>
      </c>
      <c r="D40" s="735">
        <v>0</v>
      </c>
      <c r="E40" s="429">
        <v>0</v>
      </c>
      <c r="F40" s="429">
        <v>0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29"/>
      <c r="M40" s="429"/>
      <c r="N40" s="429"/>
      <c r="O40" s="673"/>
      <c r="P40" s="8"/>
    </row>
    <row r="41" spans="1:16" ht="12.75" outlineLevel="1">
      <c r="A41" s="557"/>
      <c r="B41" s="460" t="s">
        <v>567</v>
      </c>
      <c r="C41" s="473" t="str">
        <f>VLOOKUP(B41,Справочники!$B:$F,3,FALSE)</f>
        <v>Юридические услуги</v>
      </c>
      <c r="D41" s="735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673"/>
      <c r="P41" s="8"/>
    </row>
    <row r="42" spans="1:16" ht="12.75" outlineLevel="1">
      <c r="A42" s="557"/>
      <c r="B42" s="460" t="s">
        <v>568</v>
      </c>
      <c r="C42" s="473" t="str">
        <f>VLOOKUP(B42,Справочники!$B:$F,3,FALSE)</f>
        <v>Услуги пот продвижению и рекламе продукции</v>
      </c>
      <c r="D42" s="735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673"/>
      <c r="P42" s="8"/>
    </row>
    <row r="43" spans="1:16" ht="12.75" outlineLevel="1">
      <c r="A43" s="557"/>
      <c r="B43" s="460" t="s">
        <v>569</v>
      </c>
      <c r="C43" s="473" t="str">
        <f>VLOOKUP(B43,Справочники!$B:$F,3,FALSE)</f>
        <v>Консультационные услуги</v>
      </c>
      <c r="D43" s="735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673"/>
      <c r="P43" s="8"/>
    </row>
    <row r="44" spans="1:16" ht="12.75" outlineLevel="1">
      <c r="A44" s="557"/>
      <c r="B44" s="460" t="s">
        <v>570</v>
      </c>
      <c r="C44" s="473" t="str">
        <f>VLOOKUP(B44,Справочники!$B:$F,3,FALSE)</f>
        <v>Услуги банка</v>
      </c>
      <c r="D44" s="735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673"/>
      <c r="P44" s="8"/>
    </row>
    <row r="45" spans="1:16" ht="12.75" outlineLevel="1">
      <c r="A45" s="557"/>
      <c r="B45" s="460" t="s">
        <v>571</v>
      </c>
      <c r="C45" s="473" t="str">
        <f>VLOOKUP(B45,Справочники!$B:$F,3,FALSE)</f>
        <v>Услуги почты</v>
      </c>
      <c r="D45" s="735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673"/>
      <c r="P45" s="8"/>
    </row>
    <row r="46" spans="1:16" ht="12.75" outlineLevel="1">
      <c r="A46" s="557"/>
      <c r="B46" s="460" t="s">
        <v>572</v>
      </c>
      <c r="C46" s="473" t="str">
        <f>VLOOKUP(B46,Справочники!$B:$F,3,FALSE)</f>
        <v>Услуги по по таможенному оформлению </v>
      </c>
      <c r="D46" s="735">
        <v>0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29"/>
      <c r="M46" s="429"/>
      <c r="N46" s="429"/>
      <c r="O46" s="673"/>
      <c r="P46" s="8"/>
    </row>
    <row r="47" spans="1:16" ht="12.75" outlineLevel="1">
      <c r="A47" s="557"/>
      <c r="B47" s="460" t="s">
        <v>573</v>
      </c>
      <c r="C47" s="473" t="str">
        <f>VLOOKUP(B47,Справочники!$B:$F,3,FALSE)</f>
        <v>Транспортные услуги</v>
      </c>
      <c r="D47" s="735">
        <v>0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0</v>
      </c>
      <c r="K47" s="429">
        <v>0</v>
      </c>
      <c r="L47" s="429"/>
      <c r="M47" s="429"/>
      <c r="N47" s="429"/>
      <c r="O47" s="673"/>
      <c r="P47" s="8"/>
    </row>
    <row r="48" spans="1:16" ht="12.75" outlineLevel="1">
      <c r="A48" s="557"/>
      <c r="B48" s="460" t="s">
        <v>705</v>
      </c>
      <c r="C48" s="473" t="str">
        <f>VLOOKUP(B48,Справочники!$B:$F,3,FALSE)</f>
        <v>Роялти</v>
      </c>
      <c r="D48" s="735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673"/>
      <c r="P48" s="8"/>
    </row>
    <row r="49" spans="1:16" ht="12.75" outlineLevel="1">
      <c r="A49" s="557"/>
      <c r="B49" s="460" t="s">
        <v>785</v>
      </c>
      <c r="C49" s="473" t="str">
        <f>VLOOKUP(B49,Справочники!$B:$F,3,FALSE)</f>
        <v>Прочие услуги </v>
      </c>
      <c r="D49" s="735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673"/>
      <c r="P49" s="8"/>
    </row>
    <row r="50" spans="1:16" s="1" customFormat="1" ht="12.75">
      <c r="A50" s="674"/>
      <c r="B50" s="675" t="s">
        <v>115</v>
      </c>
      <c r="C50" s="462" t="str">
        <f>VLOOKUP(B50,Справочники!$B:$F,3,FALSE)</f>
        <v>Прочие расходы</v>
      </c>
      <c r="D50" s="733">
        <f aca="true" t="shared" si="6" ref="D50:O50">SUM(D51:D57)</f>
        <v>0</v>
      </c>
      <c r="E50" s="470">
        <f t="shared" si="6"/>
        <v>0</v>
      </c>
      <c r="F50" s="470">
        <f t="shared" si="6"/>
        <v>0</v>
      </c>
      <c r="G50" s="470">
        <f t="shared" si="6"/>
        <v>0</v>
      </c>
      <c r="H50" s="470">
        <f t="shared" si="6"/>
        <v>0</v>
      </c>
      <c r="I50" s="470">
        <f t="shared" si="6"/>
        <v>0</v>
      </c>
      <c r="J50" s="470">
        <f t="shared" si="6"/>
        <v>0</v>
      </c>
      <c r="K50" s="470">
        <f t="shared" si="6"/>
        <v>0</v>
      </c>
      <c r="L50" s="470">
        <f t="shared" si="6"/>
        <v>0</v>
      </c>
      <c r="M50" s="470">
        <f t="shared" si="6"/>
        <v>0</v>
      </c>
      <c r="N50" s="470">
        <f t="shared" si="6"/>
        <v>0</v>
      </c>
      <c r="O50" s="734">
        <f t="shared" si="6"/>
        <v>0</v>
      </c>
      <c r="P50" s="45"/>
    </row>
    <row r="51" spans="1:16" ht="12.75" outlineLevel="1">
      <c r="A51" s="557"/>
      <c r="B51" s="731" t="s">
        <v>116</v>
      </c>
      <c r="C51" s="473" t="str">
        <f>VLOOKUP(B51,Справочники!$B:$F,3,FALSE)</f>
        <v>Судебные расходы и арбитражные сборы</v>
      </c>
      <c r="D51" s="735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673"/>
      <c r="P51" s="8"/>
    </row>
    <row r="52" spans="1:16" ht="12.75" outlineLevel="1">
      <c r="A52" s="557"/>
      <c r="B52" s="731" t="s">
        <v>118</v>
      </c>
      <c r="C52" s="473" t="str">
        <f>VLOOKUP(B52,Справочники!$B:$F,3,FALSE)</f>
        <v>Командировочные расходы</v>
      </c>
      <c r="D52" s="735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673"/>
      <c r="P52" s="8"/>
    </row>
    <row r="53" spans="1:16" ht="12.75" outlineLevel="1">
      <c r="A53" s="557"/>
      <c r="B53" s="731" t="s">
        <v>119</v>
      </c>
      <c r="C53" s="473" t="str">
        <f>VLOOKUP(B53,Справочники!$B:$F,3,FALSE)</f>
        <v>Представительские расходы</v>
      </c>
      <c r="D53" s="735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673"/>
      <c r="P53" s="8"/>
    </row>
    <row r="54" spans="1:16" ht="12.75" outlineLevel="1">
      <c r="A54" s="557"/>
      <c r="B54" s="731" t="s">
        <v>120</v>
      </c>
      <c r="C54" s="473" t="str">
        <f>VLOOKUP(B54,Справочники!$B:$F,3,FALSE)</f>
        <v>Абонентская плата за поддержку ИС</v>
      </c>
      <c r="D54" s="735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673"/>
      <c r="P54" s="8"/>
    </row>
    <row r="55" spans="1:16" ht="12.75" outlineLevel="1">
      <c r="A55" s="557"/>
      <c r="B55" s="731" t="s">
        <v>121</v>
      </c>
      <c r="C55" s="473" t="str">
        <f>VLOOKUP(B55,Справочники!$B:$F,3,FALSE)</f>
        <v>Компенсация за использование личного транспорта</v>
      </c>
      <c r="D55" s="735">
        <v>0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/>
      <c r="M55" s="429"/>
      <c r="N55" s="429"/>
      <c r="O55" s="673"/>
      <c r="P55" s="8"/>
    </row>
    <row r="56" spans="1:16" ht="12.75" outlineLevel="1">
      <c r="A56" s="557"/>
      <c r="B56" s="731" t="s">
        <v>122</v>
      </c>
      <c r="C56" s="473" t="str">
        <f>VLOOKUP(B56,Справочники!$B:$F,3,FALSE)</f>
        <v>Агентские вознаграждения</v>
      </c>
      <c r="D56" s="735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673"/>
      <c r="P56" s="8"/>
    </row>
    <row r="57" spans="1:16" ht="12.75" outlineLevel="1">
      <c r="A57" s="557"/>
      <c r="B57" s="731" t="s">
        <v>136</v>
      </c>
      <c r="C57" s="473" t="str">
        <f>VLOOKUP(B57,Справочники!$B:$F,3,FALSE)</f>
        <v>Прочие</v>
      </c>
      <c r="D57" s="735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673"/>
      <c r="P57" s="8"/>
    </row>
    <row r="58" spans="1:15" s="45" customFormat="1" ht="12.75">
      <c r="A58" s="558"/>
      <c r="B58" s="463"/>
      <c r="C58" s="467" t="s">
        <v>217</v>
      </c>
      <c r="D58" s="538">
        <f>SUM(D10,D24,D29,D50)</f>
        <v>60421</v>
      </c>
      <c r="E58" s="464">
        <f aca="true" t="shared" si="7" ref="E58:O58">SUM(E10,E24,E29,E50)</f>
        <v>49621</v>
      </c>
      <c r="F58" s="464">
        <f t="shared" si="7"/>
        <v>49621</v>
      </c>
      <c r="G58" s="464">
        <f t="shared" si="7"/>
        <v>60691</v>
      </c>
      <c r="H58" s="464">
        <f t="shared" si="7"/>
        <v>273908.3333333334</v>
      </c>
      <c r="I58" s="464">
        <f t="shared" si="7"/>
        <v>284799.1666666666</v>
      </c>
      <c r="J58" s="464">
        <f t="shared" si="7"/>
        <v>313279.0833333334</v>
      </c>
      <c r="K58" s="464">
        <f t="shared" si="7"/>
        <v>344606.99166666664</v>
      </c>
      <c r="L58" s="464">
        <f t="shared" si="7"/>
        <v>0</v>
      </c>
      <c r="M58" s="464">
        <f t="shared" si="7"/>
        <v>0</v>
      </c>
      <c r="N58" s="464">
        <f t="shared" si="7"/>
        <v>0</v>
      </c>
      <c r="O58" s="736">
        <f t="shared" si="7"/>
        <v>0</v>
      </c>
    </row>
    <row r="66" spans="4:15" ht="12.75">
      <c r="D66" s="588"/>
      <c r="E66" s="588"/>
      <c r="F66" s="588"/>
      <c r="G66" s="588"/>
      <c r="H66" s="588"/>
      <c r="I66" s="588"/>
      <c r="J66" s="588"/>
      <c r="K66" s="588"/>
      <c r="L66" s="588"/>
      <c r="M66" s="588"/>
      <c r="N66" s="588"/>
      <c r="O66" s="588"/>
    </row>
    <row r="67" spans="4:15" ht="12.75">
      <c r="D67" s="588"/>
      <c r="E67" s="588"/>
      <c r="F67" s="588"/>
      <c r="G67" s="588"/>
      <c r="H67" s="588"/>
      <c r="I67" s="588"/>
      <c r="J67" s="588"/>
      <c r="K67" s="588"/>
      <c r="L67" s="588"/>
      <c r="M67" s="588"/>
      <c r="N67" s="588"/>
      <c r="O67" s="588"/>
    </row>
    <row r="68" spans="4:15" ht="12.75">
      <c r="D68" s="588"/>
      <c r="E68" s="588"/>
      <c r="F68" s="588"/>
      <c r="G68" s="588"/>
      <c r="H68" s="588"/>
      <c r="I68" s="588"/>
      <c r="J68" s="588"/>
      <c r="K68" s="588"/>
      <c r="L68" s="588"/>
      <c r="M68" s="588"/>
      <c r="N68" s="588"/>
      <c r="O68" s="588"/>
    </row>
    <row r="70" spans="4:15" ht="12.75">
      <c r="D70" s="588"/>
      <c r="E70" s="588"/>
      <c r="F70" s="588"/>
      <c r="G70" s="588"/>
      <c r="H70" s="588"/>
      <c r="I70" s="588"/>
      <c r="J70" s="588"/>
      <c r="K70" s="588"/>
      <c r="L70" s="588"/>
      <c r="M70" s="588"/>
      <c r="N70" s="588"/>
      <c r="O70" s="588"/>
    </row>
  </sheetData>
  <sheetProtection/>
  <mergeCells count="13">
    <mergeCell ref="I7:I8"/>
    <mergeCell ref="J7:J8"/>
    <mergeCell ref="K7:K8"/>
    <mergeCell ref="A7:A8"/>
    <mergeCell ref="B7:B8"/>
    <mergeCell ref="C7:C8"/>
    <mergeCell ref="D7:G7"/>
    <mergeCell ref="B4:O4"/>
    <mergeCell ref="L7:L8"/>
    <mergeCell ref="M7:M8"/>
    <mergeCell ref="N7:N8"/>
    <mergeCell ref="O7:O8"/>
    <mergeCell ref="H7:H8"/>
  </mergeCells>
  <hyperlinks>
    <hyperlink ref="B1" location="Содержание!A1" display="Вернуться к содержанию"/>
  </hyperlinks>
  <printOptions/>
  <pageMargins left="0.47" right="0.72" top="0.5" bottom="0.42" header="0.25" footer="0.2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88"/>
  <sheetViews>
    <sheetView zoomScale="90" zoomScaleNormal="90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2" sqref="B12"/>
      <selection pane="bottomRight" activeCell="A1" sqref="A1"/>
    </sheetView>
  </sheetViews>
  <sheetFormatPr defaultColWidth="9.00390625" defaultRowHeight="12.75" outlineLevelRow="2"/>
  <cols>
    <col min="1" max="1" width="0.12890625" style="556" hidden="1" customWidth="1"/>
    <col min="2" max="2" width="9.125" style="2" customWidth="1"/>
    <col min="3" max="3" width="51.00390625" style="2" bestFit="1" customWidth="1"/>
    <col min="4" max="4" width="11.375" style="2" bestFit="1" customWidth="1"/>
    <col min="5" max="5" width="9.875" style="2" customWidth="1"/>
    <col min="6" max="6" width="10.00390625" style="2" customWidth="1"/>
    <col min="7" max="8" width="9.625" style="2" bestFit="1" customWidth="1"/>
    <col min="9" max="10" width="10.00390625" style="2" customWidth="1"/>
    <col min="11" max="12" width="10.25390625" style="2" bestFit="1" customWidth="1"/>
    <col min="13" max="15" width="10.00390625" style="2" customWidth="1"/>
    <col min="16" max="16384" width="9.125" style="2" customWidth="1"/>
  </cols>
  <sheetData>
    <row r="1" spans="2:3" ht="12.75">
      <c r="B1" s="587" t="s">
        <v>129</v>
      </c>
      <c r="C1" s="8"/>
    </row>
    <row r="3" spans="1:15" s="36" customFormat="1" ht="12.75">
      <c r="A3" s="559"/>
      <c r="C3" s="67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</row>
    <row r="4" spans="2:19" ht="30" customHeight="1">
      <c r="B4" s="1136" t="s">
        <v>740</v>
      </c>
      <c r="C4" s="1136"/>
      <c r="D4" s="1136"/>
      <c r="E4" s="1136"/>
      <c r="F4" s="1136"/>
      <c r="G4" s="1136"/>
      <c r="H4" s="1136"/>
      <c r="I4" s="1136"/>
      <c r="J4" s="1136"/>
      <c r="K4" s="1136"/>
      <c r="L4" s="1136"/>
      <c r="M4" s="1136"/>
      <c r="N4" s="1136"/>
      <c r="O4" s="1136"/>
      <c r="P4" s="357"/>
      <c r="Q4" s="357"/>
      <c r="R4" s="357"/>
      <c r="S4" s="357"/>
    </row>
    <row r="5" spans="1:9" s="102" customFormat="1" ht="13.5">
      <c r="A5" s="556"/>
      <c r="C5" s="97"/>
      <c r="D5" s="97"/>
      <c r="E5" s="97"/>
      <c r="G5" s="97"/>
      <c r="H5" s="97"/>
      <c r="I5" s="97"/>
    </row>
    <row r="6" spans="1:9" s="102" customFormat="1" ht="13.5">
      <c r="A6" s="556"/>
      <c r="C6" s="97"/>
      <c r="D6" s="97"/>
      <c r="E6" s="97"/>
      <c r="G6" s="97"/>
      <c r="H6" s="97"/>
      <c r="I6" s="97"/>
    </row>
    <row r="7" spans="1:15" ht="12.75" customHeight="1">
      <c r="A7" s="1135" t="s">
        <v>117</v>
      </c>
      <c r="B7" s="1145" t="s">
        <v>264</v>
      </c>
      <c r="C7" s="1147" t="s">
        <v>186</v>
      </c>
      <c r="D7" s="1129">
        <f>Параметры!D3</f>
        <v>2006</v>
      </c>
      <c r="E7" s="1130"/>
      <c r="F7" s="1130"/>
      <c r="G7" s="1131"/>
      <c r="H7" s="1133">
        <f>D7+1</f>
        <v>2007</v>
      </c>
      <c r="I7" s="1121">
        <f>H7+1</f>
        <v>2008</v>
      </c>
      <c r="J7" s="1121">
        <f aca="true" t="shared" si="0" ref="J7:O7">I7+1</f>
        <v>2009</v>
      </c>
      <c r="K7" s="1121">
        <f t="shared" si="0"/>
        <v>2010</v>
      </c>
      <c r="L7" s="1121">
        <f t="shared" si="0"/>
        <v>2011</v>
      </c>
      <c r="M7" s="1121">
        <f t="shared" si="0"/>
        <v>2012</v>
      </c>
      <c r="N7" s="1121">
        <f t="shared" si="0"/>
        <v>2013</v>
      </c>
      <c r="O7" s="1121">
        <f t="shared" si="0"/>
        <v>2014</v>
      </c>
    </row>
    <row r="8" spans="1:16" s="12" customFormat="1" ht="12.75">
      <c r="A8" s="1135"/>
      <c r="B8" s="1146"/>
      <c r="C8" s="1148"/>
      <c r="D8" s="763" t="s">
        <v>725</v>
      </c>
      <c r="E8" s="763" t="s">
        <v>726</v>
      </c>
      <c r="F8" s="763" t="s">
        <v>727</v>
      </c>
      <c r="G8" s="763" t="s">
        <v>728</v>
      </c>
      <c r="H8" s="1133"/>
      <c r="I8" s="1122"/>
      <c r="J8" s="1122"/>
      <c r="K8" s="1122"/>
      <c r="L8" s="1122"/>
      <c r="M8" s="1122"/>
      <c r="N8" s="1122"/>
      <c r="O8" s="1122"/>
      <c r="P8" s="102"/>
    </row>
    <row r="9" spans="1:16" s="93" customFormat="1" ht="12.75">
      <c r="A9" s="676"/>
      <c r="B9" s="11">
        <v>1</v>
      </c>
      <c r="C9" s="11">
        <f aca="true" t="shared" si="1" ref="C9:O9">B9+1</f>
        <v>2</v>
      </c>
      <c r="D9" s="11">
        <f t="shared" si="1"/>
        <v>3</v>
      </c>
      <c r="E9" s="11">
        <f t="shared" si="1"/>
        <v>4</v>
      </c>
      <c r="F9" s="11">
        <f t="shared" si="1"/>
        <v>5</v>
      </c>
      <c r="G9" s="11">
        <f t="shared" si="1"/>
        <v>6</v>
      </c>
      <c r="H9" s="11">
        <f t="shared" si="1"/>
        <v>7</v>
      </c>
      <c r="I9" s="11">
        <f t="shared" si="1"/>
        <v>8</v>
      </c>
      <c r="J9" s="11">
        <f t="shared" si="1"/>
        <v>9</v>
      </c>
      <c r="K9" s="11">
        <f t="shared" si="1"/>
        <v>10</v>
      </c>
      <c r="L9" s="11">
        <f t="shared" si="1"/>
        <v>11</v>
      </c>
      <c r="M9" s="11">
        <f t="shared" si="1"/>
        <v>12</v>
      </c>
      <c r="N9" s="11">
        <f t="shared" si="1"/>
        <v>13</v>
      </c>
      <c r="O9" s="11">
        <f t="shared" si="1"/>
        <v>14</v>
      </c>
      <c r="P9" s="2"/>
    </row>
    <row r="10" spans="1:16" s="1" customFormat="1" ht="12.75">
      <c r="A10" s="674"/>
      <c r="B10" s="675" t="s">
        <v>295</v>
      </c>
      <c r="C10" s="462" t="str">
        <f>VLOOKUP(B10,Справочники!$B:$F,3,FALSE)</f>
        <v>Материальные затраты</v>
      </c>
      <c r="D10" s="733">
        <f>SUM(D11:D23)</f>
        <v>1100</v>
      </c>
      <c r="E10" s="470">
        <f aca="true" t="shared" si="2" ref="E10:O10">SUM(E11:E23)</f>
        <v>1100</v>
      </c>
      <c r="F10" s="470">
        <f t="shared" si="2"/>
        <v>1100</v>
      </c>
      <c r="G10" s="470">
        <f t="shared" si="2"/>
        <v>1100</v>
      </c>
      <c r="H10" s="470">
        <f t="shared" si="2"/>
        <v>5000</v>
      </c>
      <c r="I10" s="470">
        <f t="shared" si="2"/>
        <v>5500</v>
      </c>
      <c r="J10" s="470">
        <f t="shared" si="2"/>
        <v>6000</v>
      </c>
      <c r="K10" s="470">
        <f t="shared" si="2"/>
        <v>6500</v>
      </c>
      <c r="L10" s="470">
        <f t="shared" si="2"/>
        <v>0</v>
      </c>
      <c r="M10" s="470">
        <f t="shared" si="2"/>
        <v>0</v>
      </c>
      <c r="N10" s="470">
        <f t="shared" si="2"/>
        <v>0</v>
      </c>
      <c r="O10" s="734">
        <f t="shared" si="2"/>
        <v>0</v>
      </c>
      <c r="P10" s="45"/>
    </row>
    <row r="11" spans="1:16" ht="12.75" outlineLevel="1">
      <c r="A11" s="557"/>
      <c r="B11" s="460" t="s">
        <v>296</v>
      </c>
      <c r="C11" s="473" t="str">
        <f>VLOOKUP(B11,Справочники!$B:$F,3,FALSE)</f>
        <v>Материалы на содержание и ремонт зданий и сооружений</v>
      </c>
      <c r="D11" s="735">
        <v>0</v>
      </c>
      <c r="E11" s="430">
        <v>0</v>
      </c>
      <c r="F11" s="430">
        <v>0</v>
      </c>
      <c r="G11" s="430">
        <v>0</v>
      </c>
      <c r="H11" s="430">
        <v>0</v>
      </c>
      <c r="I11" s="430">
        <v>0</v>
      </c>
      <c r="J11" s="430">
        <v>0</v>
      </c>
      <c r="K11" s="430">
        <v>0</v>
      </c>
      <c r="L11" s="430"/>
      <c r="M11" s="430"/>
      <c r="N11" s="430"/>
      <c r="O11" s="431"/>
      <c r="P11" s="8"/>
    </row>
    <row r="12" spans="1:16" ht="12.75" outlineLevel="1">
      <c r="A12" s="557"/>
      <c r="B12" s="460" t="s">
        <v>297</v>
      </c>
      <c r="C12" s="471" t="str">
        <f>VLOOKUP(B12,Справочники!$B:$F,3,FALSE)</f>
        <v>Материалы на содержание и ремонт транспортных средств</v>
      </c>
      <c r="D12" s="735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1"/>
      <c r="P12" s="8"/>
    </row>
    <row r="13" spans="1:16" ht="12.75" outlineLevel="1">
      <c r="A13" s="557"/>
      <c r="B13" s="460" t="s">
        <v>298</v>
      </c>
      <c r="C13" s="471" t="str">
        <f>VLOOKUP(B13,Справочники!$B:$F,3,FALSE)</f>
        <v>Материалы на содержание и ремонт технол. оборудования</v>
      </c>
      <c r="D13" s="735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1"/>
      <c r="P13" s="8"/>
    </row>
    <row r="14" spans="1:16" ht="12.75" outlineLevel="1">
      <c r="A14" s="557"/>
      <c r="B14" s="460" t="s">
        <v>299</v>
      </c>
      <c r="C14" s="471" t="str">
        <f>VLOOKUP(B14,Справочники!$B:$F,3,FALSE)</f>
        <v>ГСМ</v>
      </c>
      <c r="D14" s="735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1"/>
      <c r="P14" s="8"/>
    </row>
    <row r="15" spans="1:16" ht="12.75" outlineLevel="1">
      <c r="A15" s="557"/>
      <c r="B15" s="460" t="s">
        <v>300</v>
      </c>
      <c r="C15" s="471" t="str">
        <f>VLOOKUP(B15,Справочники!$B:$F,3,FALSE)</f>
        <v>Расходные материалы для компьютерной и офисной техники</v>
      </c>
      <c r="D15" s="735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1"/>
      <c r="P15" s="8"/>
    </row>
    <row r="16" spans="1:16" ht="12.75" outlineLevel="1">
      <c r="A16" s="557"/>
      <c r="B16" s="460" t="s">
        <v>301</v>
      </c>
      <c r="C16" s="471" t="str">
        <f>VLOOKUP(B16,Справочники!$B:$F,3,FALSE)</f>
        <v>Запасные части для компьютерной и офисной техники</v>
      </c>
      <c r="D16" s="735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673"/>
      <c r="P16" s="8"/>
    </row>
    <row r="17" spans="1:16" s="1" customFormat="1" ht="12.75" outlineLevel="1">
      <c r="A17" s="560"/>
      <c r="B17" s="460" t="s">
        <v>302</v>
      </c>
      <c r="C17" s="471" t="str">
        <f>VLOOKUP(B17,Справочники!$B:$F,3,FALSE)</f>
        <v>Хозяйственный инвентарь</v>
      </c>
      <c r="D17" s="735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673"/>
      <c r="P17" s="45"/>
    </row>
    <row r="18" spans="1:16" ht="12.75" outlineLevel="1">
      <c r="A18" s="557"/>
      <c r="B18" s="460" t="s">
        <v>303</v>
      </c>
      <c r="C18" s="473" t="str">
        <f>VLOOKUP(B18,Справочники!$B:$F,3,FALSE)</f>
        <v>Канцелярские товары</v>
      </c>
      <c r="D18" s="735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673"/>
      <c r="P18" s="8"/>
    </row>
    <row r="19" spans="1:16" ht="12.75" outlineLevel="1">
      <c r="A19" s="557"/>
      <c r="B19" s="499" t="s">
        <v>304</v>
      </c>
      <c r="C19" s="498" t="str">
        <f>VLOOKUP(B19,Справочники!$B:$F,3,FALSE)</f>
        <v>Продукты питания</v>
      </c>
      <c r="D19" s="735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1"/>
      <c r="P19" s="8"/>
    </row>
    <row r="20" spans="1:16" ht="12.75" outlineLevel="1">
      <c r="A20" s="557"/>
      <c r="B20" s="460" t="s">
        <v>306</v>
      </c>
      <c r="C20" s="473" t="str">
        <f>VLOOKUP(B20,Справочники!$B:$F,3,FALSE)</f>
        <v>Вода</v>
      </c>
      <c r="D20" s="735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673"/>
      <c r="P20" s="8"/>
    </row>
    <row r="21" spans="1:16" ht="12.75" outlineLevel="1">
      <c r="A21" s="557"/>
      <c r="B21" s="460" t="s">
        <v>307</v>
      </c>
      <c r="C21" s="473" t="str">
        <f>VLOOKUP(B21,Справочники!$B:$F,3,FALSE)</f>
        <v>Материалы для службы охраны</v>
      </c>
      <c r="D21" s="735">
        <v>0</v>
      </c>
      <c r="E21" s="429">
        <v>0</v>
      </c>
      <c r="F21" s="429">
        <v>0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/>
      <c r="M21" s="429"/>
      <c r="N21" s="429"/>
      <c r="O21" s="673"/>
      <c r="P21" s="8"/>
    </row>
    <row r="22" spans="1:16" ht="12.75" outlineLevel="1">
      <c r="A22" s="557"/>
      <c r="B22" s="460" t="s">
        <v>8</v>
      </c>
      <c r="C22" s="473" t="str">
        <f>VLOOKUP(B22,Справочники!$B:$F,3,FALSE)</f>
        <v>Электроэнергия</v>
      </c>
      <c r="D22" s="735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673"/>
      <c r="P22" s="8"/>
    </row>
    <row r="23" spans="1:16" ht="12.75" outlineLevel="1">
      <c r="A23" s="557"/>
      <c r="B23" s="460" t="s">
        <v>76</v>
      </c>
      <c r="C23" s="473" t="str">
        <f>VLOOKUP(B23,Справочники!$B:$F,3,FALSE)</f>
        <v>Прочие материалы</v>
      </c>
      <c r="D23" s="735">
        <v>1100</v>
      </c>
      <c r="E23" s="429">
        <v>1100</v>
      </c>
      <c r="F23" s="429">
        <v>1100</v>
      </c>
      <c r="G23" s="429">
        <v>1100</v>
      </c>
      <c r="H23" s="429">
        <v>5000</v>
      </c>
      <c r="I23" s="429">
        <v>5500</v>
      </c>
      <c r="J23" s="429">
        <v>6000</v>
      </c>
      <c r="K23" s="429">
        <v>6500</v>
      </c>
      <c r="L23" s="429"/>
      <c r="M23" s="429"/>
      <c r="N23" s="429"/>
      <c r="O23" s="673"/>
      <c r="P23" s="8"/>
    </row>
    <row r="24" spans="1:16" s="1" customFormat="1" ht="12.75">
      <c r="A24" s="674"/>
      <c r="B24" s="675" t="s">
        <v>308</v>
      </c>
      <c r="C24" s="462" t="str">
        <f>VLOOKUP(B24,Справочники!$B:$F,3,FALSE)</f>
        <v>Расходы на оплату труда</v>
      </c>
      <c r="D24" s="733">
        <f>SUM(D25:D28)</f>
        <v>17400</v>
      </c>
      <c r="E24" s="470">
        <f aca="true" t="shared" si="3" ref="E24:O24">SUM(E25:E28)</f>
        <v>17400</v>
      </c>
      <c r="F24" s="470">
        <f t="shared" si="3"/>
        <v>17400</v>
      </c>
      <c r="G24" s="470">
        <f t="shared" si="3"/>
        <v>23200</v>
      </c>
      <c r="H24" s="470">
        <f t="shared" si="3"/>
        <v>199495.83333333334</v>
      </c>
      <c r="I24" s="470">
        <f t="shared" si="3"/>
        <v>219445.41666666666</v>
      </c>
      <c r="J24" s="470">
        <f t="shared" si="3"/>
        <v>241389.95833333334</v>
      </c>
      <c r="K24" s="470">
        <f t="shared" si="3"/>
        <v>265528.95416666666</v>
      </c>
      <c r="L24" s="470">
        <f t="shared" si="3"/>
        <v>0</v>
      </c>
      <c r="M24" s="470">
        <f t="shared" si="3"/>
        <v>0</v>
      </c>
      <c r="N24" s="470">
        <f t="shared" si="3"/>
        <v>0</v>
      </c>
      <c r="O24" s="734">
        <f t="shared" si="3"/>
        <v>0</v>
      </c>
      <c r="P24" s="45"/>
    </row>
    <row r="25" spans="1:16" ht="12.75" outlineLevel="1">
      <c r="A25" s="557"/>
      <c r="B25" s="460" t="s">
        <v>309</v>
      </c>
      <c r="C25" s="473" t="str">
        <f>VLOOKUP(B25,Справочники!$B:$F,3,FALSE)</f>
        <v>Окладная часть</v>
      </c>
      <c r="D25" s="735">
        <v>17400</v>
      </c>
      <c r="E25" s="429">
        <v>17400</v>
      </c>
      <c r="F25" s="429">
        <v>17400</v>
      </c>
      <c r="G25" s="429">
        <v>17400</v>
      </c>
      <c r="H25" s="429">
        <v>184150</v>
      </c>
      <c r="I25" s="429">
        <f>H25+H25*10%</f>
        <v>202565</v>
      </c>
      <c r="J25" s="429">
        <f>I25+I25*10%</f>
        <v>222821.5</v>
      </c>
      <c r="K25" s="429">
        <f>J25+J25*10%</f>
        <v>245103.65</v>
      </c>
      <c r="L25" s="429"/>
      <c r="M25" s="429"/>
      <c r="N25" s="429"/>
      <c r="O25" s="673"/>
      <c r="P25" s="8"/>
    </row>
    <row r="26" spans="1:16" ht="12.75" outlineLevel="1">
      <c r="A26" s="557"/>
      <c r="B26" s="460" t="s">
        <v>310</v>
      </c>
      <c r="C26" s="473" t="str">
        <f>VLOOKUP(B26,Справочники!$B:$F,3,FALSE)</f>
        <v>Бонусы </v>
      </c>
      <c r="D26" s="735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/>
      <c r="M26" s="429"/>
      <c r="N26" s="429"/>
      <c r="O26" s="673"/>
      <c r="P26" s="8"/>
    </row>
    <row r="27" spans="1:16" ht="12.75" outlineLevel="1">
      <c r="A27" s="557"/>
      <c r="B27" s="460" t="s">
        <v>311</v>
      </c>
      <c r="C27" s="473" t="str">
        <f>VLOOKUP(B27,Справочники!$B:$F,3,FALSE)</f>
        <v>Вознаграждение по итогам года</v>
      </c>
      <c r="D27" s="735">
        <v>0</v>
      </c>
      <c r="E27" s="429">
        <v>0</v>
      </c>
      <c r="F27" s="429">
        <v>0</v>
      </c>
      <c r="G27" s="429">
        <f>69600/12</f>
        <v>5800</v>
      </c>
      <c r="H27" s="429">
        <f>H25/12</f>
        <v>15345.833333333334</v>
      </c>
      <c r="I27" s="429">
        <f>I25/12</f>
        <v>16880.416666666668</v>
      </c>
      <c r="J27" s="429">
        <f>J25/12</f>
        <v>18568.458333333332</v>
      </c>
      <c r="K27" s="429">
        <f>K25/12</f>
        <v>20425.304166666665</v>
      </c>
      <c r="L27" s="429"/>
      <c r="M27" s="429"/>
      <c r="N27" s="429"/>
      <c r="O27" s="673"/>
      <c r="P27" s="8"/>
    </row>
    <row r="28" spans="1:16" ht="12.75" outlineLevel="1">
      <c r="A28" s="557"/>
      <c r="B28" s="460" t="s">
        <v>7</v>
      </c>
      <c r="C28" s="473" t="str">
        <f>VLOOKUP(B28,Справочники!$B:$F,3,FALSE)</f>
        <v>Сдельная оплата труда</v>
      </c>
      <c r="D28" s="735">
        <v>0</v>
      </c>
      <c r="E28" s="429">
        <v>0</v>
      </c>
      <c r="F28" s="429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/>
      <c r="M28" s="429"/>
      <c r="N28" s="429"/>
      <c r="O28" s="673"/>
      <c r="P28" s="8"/>
    </row>
    <row r="29" spans="1:16" s="1" customFormat="1" ht="12.75">
      <c r="A29" s="674"/>
      <c r="B29" s="675" t="s">
        <v>317</v>
      </c>
      <c r="C29" s="462" t="str">
        <f>VLOOKUP(B29,Справочники!$B:$F,3,FALSE)</f>
        <v>Услуги сторонних организаций</v>
      </c>
      <c r="D29" s="733">
        <f>SUM(D30:D34,D35,D39:D49)</f>
        <v>11316</v>
      </c>
      <c r="E29" s="470">
        <f aca="true" t="shared" si="4" ref="E29:O29">SUM(E30:E34,E35,E39:E49)</f>
        <v>11316</v>
      </c>
      <c r="F29" s="470">
        <f t="shared" si="4"/>
        <v>11316</v>
      </c>
      <c r="G29" s="470">
        <f t="shared" si="4"/>
        <v>11316</v>
      </c>
      <c r="H29" s="470">
        <f t="shared" si="4"/>
        <v>167379.13559322036</v>
      </c>
      <c r="I29" s="470">
        <f t="shared" si="4"/>
        <v>206391.38983050847</v>
      </c>
      <c r="J29" s="470">
        <f t="shared" si="4"/>
        <v>254810.3211864407</v>
      </c>
      <c r="K29" s="470">
        <f t="shared" si="4"/>
        <v>234736.5768220339</v>
      </c>
      <c r="L29" s="470">
        <f t="shared" si="4"/>
        <v>82440.6779661017</v>
      </c>
      <c r="M29" s="470">
        <f t="shared" si="4"/>
        <v>0</v>
      </c>
      <c r="N29" s="470">
        <f t="shared" si="4"/>
        <v>0</v>
      </c>
      <c r="O29" s="734">
        <f t="shared" si="4"/>
        <v>0</v>
      </c>
      <c r="P29" s="45"/>
    </row>
    <row r="30" spans="1:16" ht="12.75" outlineLevel="1">
      <c r="A30" s="557"/>
      <c r="B30" s="460" t="s">
        <v>318</v>
      </c>
      <c r="C30" s="473" t="str">
        <f>VLOOKUP(B30,Справочники!$B:$F,3,FALSE)</f>
        <v>Аренда зданий и помещений</v>
      </c>
      <c r="D30" s="735">
        <v>7216</v>
      </c>
      <c r="E30" s="429">
        <v>7216</v>
      </c>
      <c r="F30" s="429">
        <v>7216</v>
      </c>
      <c r="G30" s="429">
        <v>7216</v>
      </c>
      <c r="H30" s="429">
        <v>63061</v>
      </c>
      <c r="I30" s="429">
        <v>69290</v>
      </c>
      <c r="J30" s="429">
        <f>I30</f>
        <v>69290</v>
      </c>
      <c r="K30" s="429">
        <f>J30+J30*5%</f>
        <v>72754.5</v>
      </c>
      <c r="L30" s="429"/>
      <c r="M30" s="429"/>
      <c r="N30" s="429"/>
      <c r="O30" s="673"/>
      <c r="P30" s="8"/>
    </row>
    <row r="31" spans="1:16" ht="12.75" outlineLevel="1">
      <c r="A31" s="557"/>
      <c r="B31" s="460" t="s">
        <v>319</v>
      </c>
      <c r="C31" s="473" t="str">
        <f>VLOOKUP(B31,Справочники!$B:$F,3,FALSE)</f>
        <v>Услуги по ремонту транспортных средств</v>
      </c>
      <c r="D31" s="735">
        <v>0</v>
      </c>
      <c r="E31" s="429">
        <v>0</v>
      </c>
      <c r="F31" s="429">
        <v>0</v>
      </c>
      <c r="G31" s="429">
        <v>0</v>
      </c>
      <c r="H31" s="429">
        <v>0</v>
      </c>
      <c r="I31" s="429">
        <v>0</v>
      </c>
      <c r="J31" s="429">
        <v>0</v>
      </c>
      <c r="K31" s="429">
        <v>0</v>
      </c>
      <c r="L31" s="429"/>
      <c r="M31" s="429"/>
      <c r="N31" s="429"/>
      <c r="O31" s="673"/>
      <c r="P31" s="8"/>
    </row>
    <row r="32" spans="1:16" ht="12.75" outlineLevel="1">
      <c r="A32" s="557"/>
      <c r="B32" s="460" t="s">
        <v>558</v>
      </c>
      <c r="C32" s="473" t="str">
        <f>VLOOKUP(B32,Справочники!$B:$F,3,FALSE)</f>
        <v>Услуги по ремонту зданий и сооружений</v>
      </c>
      <c r="D32" s="735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673"/>
      <c r="P32" s="8"/>
    </row>
    <row r="33" spans="1:16" ht="12.75" outlineLevel="1">
      <c r="A33" s="557"/>
      <c r="B33" s="460" t="s">
        <v>559</v>
      </c>
      <c r="C33" s="473" t="str">
        <f>VLOOKUP(B33,Справочники!$B:$F,3,FALSE)</f>
        <v>Услуги по охране  </v>
      </c>
      <c r="D33" s="735">
        <v>0</v>
      </c>
      <c r="E33" s="429">
        <v>0</v>
      </c>
      <c r="F33" s="429">
        <v>0</v>
      </c>
      <c r="G33" s="429">
        <v>0</v>
      </c>
      <c r="H33" s="429">
        <v>0</v>
      </c>
      <c r="I33" s="429"/>
      <c r="J33" s="429"/>
      <c r="K33" s="429"/>
      <c r="L33" s="429"/>
      <c r="M33" s="429"/>
      <c r="N33" s="429"/>
      <c r="O33" s="673"/>
      <c r="P33" s="8"/>
    </row>
    <row r="34" spans="1:16" ht="25.5" outlineLevel="1">
      <c r="A34" s="557"/>
      <c r="B34" s="460" t="s">
        <v>560</v>
      </c>
      <c r="C34" s="473" t="str">
        <f>VLOOKUP(B34,Справочники!$B:$F,3,FALSE)</f>
        <v>Услуги по ремонту и обслуж. компьютерной и офисной техники</v>
      </c>
      <c r="D34" s="735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673"/>
      <c r="P34" s="8"/>
    </row>
    <row r="35" spans="1:16" s="1" customFormat="1" ht="12.75" outlineLevel="1">
      <c r="A35" s="674"/>
      <c r="B35" s="731" t="s">
        <v>561</v>
      </c>
      <c r="C35" s="732" t="str">
        <f>VLOOKUP(B35,Справочники!$B:$F,3,FALSE)</f>
        <v>Услуги связи</v>
      </c>
      <c r="D35" s="733">
        <f>SUM(D36:D38)</f>
        <v>860</v>
      </c>
      <c r="E35" s="470">
        <f aca="true" t="shared" si="5" ref="E35:O35">SUM(E36:E38)</f>
        <v>860</v>
      </c>
      <c r="F35" s="470">
        <f t="shared" si="5"/>
        <v>860</v>
      </c>
      <c r="G35" s="470">
        <f t="shared" si="5"/>
        <v>860</v>
      </c>
      <c r="H35" s="470">
        <f t="shared" si="5"/>
        <v>11930</v>
      </c>
      <c r="I35" s="470">
        <f t="shared" si="5"/>
        <v>12623</v>
      </c>
      <c r="J35" s="470">
        <f t="shared" si="5"/>
        <v>13385.3</v>
      </c>
      <c r="K35" s="470">
        <f t="shared" si="5"/>
        <v>14223.830000000002</v>
      </c>
      <c r="L35" s="470">
        <f t="shared" si="5"/>
        <v>0</v>
      </c>
      <c r="M35" s="470">
        <f t="shared" si="5"/>
        <v>0</v>
      </c>
      <c r="N35" s="470">
        <f t="shared" si="5"/>
        <v>0</v>
      </c>
      <c r="O35" s="734">
        <f t="shared" si="5"/>
        <v>0</v>
      </c>
      <c r="P35" s="45"/>
    </row>
    <row r="36" spans="1:16" ht="12.75" outlineLevel="2">
      <c r="A36" s="557"/>
      <c r="B36" s="460" t="s">
        <v>562</v>
      </c>
      <c r="C36" s="730" t="str">
        <f>VLOOKUP(B36,Справочники!$B:$F,3,FALSE)</f>
        <v>связь мобильная</v>
      </c>
      <c r="D36" s="735">
        <v>0</v>
      </c>
      <c r="E36" s="429">
        <v>0</v>
      </c>
      <c r="F36" s="429">
        <v>0</v>
      </c>
      <c r="G36" s="429">
        <v>0</v>
      </c>
      <c r="H36" s="429">
        <v>5000</v>
      </c>
      <c r="I36" s="429">
        <v>5000</v>
      </c>
      <c r="J36" s="429">
        <v>5000</v>
      </c>
      <c r="K36" s="429">
        <v>5000</v>
      </c>
      <c r="L36" s="429"/>
      <c r="M36" s="429"/>
      <c r="N36" s="429"/>
      <c r="O36" s="673"/>
      <c r="P36" s="8"/>
    </row>
    <row r="37" spans="1:16" ht="12.75" outlineLevel="2">
      <c r="A37" s="557"/>
      <c r="B37" s="460" t="s">
        <v>563</v>
      </c>
      <c r="C37" s="730" t="str">
        <f>VLOOKUP(B37,Справочники!$B:$F,3,FALSE)</f>
        <v>связь стационарная</v>
      </c>
      <c r="D37" s="735">
        <v>430</v>
      </c>
      <c r="E37" s="429">
        <v>430</v>
      </c>
      <c r="F37" s="429">
        <v>430</v>
      </c>
      <c r="G37" s="429">
        <v>430</v>
      </c>
      <c r="H37" s="429">
        <v>3480</v>
      </c>
      <c r="I37" s="429">
        <f aca="true" t="shared" si="6" ref="I37:K38">H37+H37*10%</f>
        <v>3828</v>
      </c>
      <c r="J37" s="429">
        <f t="shared" si="6"/>
        <v>4210.8</v>
      </c>
      <c r="K37" s="429">
        <f t="shared" si="6"/>
        <v>4631.88</v>
      </c>
      <c r="L37" s="429"/>
      <c r="M37" s="429"/>
      <c r="N37" s="429"/>
      <c r="O37" s="673"/>
      <c r="P37" s="8"/>
    </row>
    <row r="38" spans="1:16" ht="12.75" outlineLevel="2">
      <c r="A38" s="557"/>
      <c r="B38" s="460" t="s">
        <v>564</v>
      </c>
      <c r="C38" s="730" t="str">
        <f>VLOOKUP(B38,Справочники!$B:$F,3,FALSE)</f>
        <v>интернет</v>
      </c>
      <c r="D38" s="735">
        <v>430</v>
      </c>
      <c r="E38" s="429">
        <v>430</v>
      </c>
      <c r="F38" s="429">
        <v>430</v>
      </c>
      <c r="G38" s="429">
        <v>430</v>
      </c>
      <c r="H38" s="429">
        <v>3450</v>
      </c>
      <c r="I38" s="429">
        <f t="shared" si="6"/>
        <v>3795</v>
      </c>
      <c r="J38" s="429">
        <f t="shared" si="6"/>
        <v>4174.5</v>
      </c>
      <c r="K38" s="429">
        <f t="shared" si="6"/>
        <v>4591.95</v>
      </c>
      <c r="L38" s="429"/>
      <c r="M38" s="429"/>
      <c r="N38" s="429"/>
      <c r="O38" s="673"/>
      <c r="P38" s="8"/>
    </row>
    <row r="39" spans="1:16" ht="12.75" outlineLevel="1">
      <c r="A39" s="557"/>
      <c r="B39" s="460" t="s">
        <v>565</v>
      </c>
      <c r="C39" s="473" t="str">
        <f>VLOOKUP(B39,Справочники!$B:$F,3,FALSE)</f>
        <v>Коммунальные услуги</v>
      </c>
      <c r="D39" s="735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673"/>
      <c r="P39" s="8"/>
    </row>
    <row r="40" spans="1:16" ht="12.75" outlineLevel="1">
      <c r="A40" s="557"/>
      <c r="B40" s="460" t="s">
        <v>566</v>
      </c>
      <c r="C40" s="473" t="str">
        <f>VLOOKUP(B40,Справочники!$B:$F,3,FALSE)</f>
        <v>Аудиторские услуги</v>
      </c>
      <c r="D40" s="735">
        <v>1590</v>
      </c>
      <c r="E40" s="429">
        <v>1590</v>
      </c>
      <c r="F40" s="429">
        <v>1590</v>
      </c>
      <c r="G40" s="429">
        <v>1590</v>
      </c>
      <c r="H40" s="429">
        <v>7000</v>
      </c>
      <c r="I40" s="429">
        <v>7700</v>
      </c>
      <c r="J40" s="429">
        <v>8470</v>
      </c>
      <c r="K40" s="429">
        <v>9300</v>
      </c>
      <c r="L40" s="429"/>
      <c r="M40" s="429"/>
      <c r="N40" s="429"/>
      <c r="O40" s="673"/>
      <c r="P40" s="8"/>
    </row>
    <row r="41" spans="1:16" ht="12.75" outlineLevel="1">
      <c r="A41" s="557"/>
      <c r="B41" s="460" t="s">
        <v>567</v>
      </c>
      <c r="C41" s="473" t="str">
        <f>VLOOKUP(B41,Справочники!$B:$F,3,FALSE)</f>
        <v>Юридические услуги</v>
      </c>
      <c r="D41" s="735">
        <v>600</v>
      </c>
      <c r="E41" s="429">
        <v>600</v>
      </c>
      <c r="F41" s="429">
        <v>600</v>
      </c>
      <c r="G41" s="429">
        <v>600</v>
      </c>
      <c r="H41" s="429">
        <f>250*12</f>
        <v>3000</v>
      </c>
      <c r="I41" s="429">
        <f>H41+H41*10%</f>
        <v>3300</v>
      </c>
      <c r="J41" s="429">
        <f>I41+I41*10%</f>
        <v>3630</v>
      </c>
      <c r="K41" s="429">
        <f>J41+J41*10%</f>
        <v>3993</v>
      </c>
      <c r="L41" s="429"/>
      <c r="M41" s="429"/>
      <c r="N41" s="429"/>
      <c r="O41" s="673"/>
      <c r="P41" s="8"/>
    </row>
    <row r="42" spans="1:16" ht="12.75" outlineLevel="1">
      <c r="A42" s="557"/>
      <c r="B42" s="460" t="s">
        <v>568</v>
      </c>
      <c r="C42" s="473" t="str">
        <f>VLOOKUP(B42,Справочники!$B:$F,3,FALSE)</f>
        <v>Услуги пот продвижению и рекламе продукции</v>
      </c>
      <c r="D42" s="735">
        <v>0</v>
      </c>
      <c r="E42" s="429">
        <v>0</v>
      </c>
      <c r="F42" s="429">
        <v>0</v>
      </c>
      <c r="G42" s="429">
        <v>0</v>
      </c>
      <c r="H42" s="429">
        <v>0</v>
      </c>
      <c r="I42" s="429">
        <v>0</v>
      </c>
      <c r="J42" s="429">
        <v>0</v>
      </c>
      <c r="K42" s="429">
        <v>0</v>
      </c>
      <c r="L42" s="429"/>
      <c r="M42" s="429"/>
      <c r="N42" s="429"/>
      <c r="O42" s="673"/>
      <c r="P42" s="8"/>
    </row>
    <row r="43" spans="1:16" ht="12.75" outlineLevel="1">
      <c r="A43" s="557"/>
      <c r="B43" s="460" t="s">
        <v>569</v>
      </c>
      <c r="C43" s="473" t="str">
        <f>VLOOKUP(B43,Справочники!$B:$F,3,FALSE)</f>
        <v>Консультационные услуги</v>
      </c>
      <c r="D43" s="735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673"/>
      <c r="P43" s="8"/>
    </row>
    <row r="44" spans="1:16" ht="12.75" outlineLevel="1">
      <c r="A44" s="557"/>
      <c r="B44" s="460" t="s">
        <v>570</v>
      </c>
      <c r="C44" s="473" t="str">
        <f>VLOOKUP(B44,Справочники!$B:$F,3,FALSE)</f>
        <v>Услуги банка</v>
      </c>
      <c r="D44" s="735">
        <v>400</v>
      </c>
      <c r="E44" s="429">
        <v>400</v>
      </c>
      <c r="F44" s="429">
        <v>400</v>
      </c>
      <c r="G44" s="429">
        <v>400</v>
      </c>
      <c r="H44" s="429">
        <v>1600</v>
      </c>
      <c r="I44" s="429">
        <v>1600</v>
      </c>
      <c r="J44" s="429">
        <v>1600</v>
      </c>
      <c r="K44" s="429">
        <v>1600</v>
      </c>
      <c r="L44" s="429"/>
      <c r="M44" s="429"/>
      <c r="N44" s="429"/>
      <c r="O44" s="673"/>
      <c r="P44" s="8"/>
    </row>
    <row r="45" spans="1:16" ht="12.75" outlineLevel="1">
      <c r="A45" s="557"/>
      <c r="B45" s="460" t="s">
        <v>571</v>
      </c>
      <c r="C45" s="473" t="str">
        <f>VLOOKUP(B45,Справочники!$B:$F,3,FALSE)</f>
        <v>Услуги почты</v>
      </c>
      <c r="D45" s="735">
        <v>650</v>
      </c>
      <c r="E45" s="429">
        <v>650</v>
      </c>
      <c r="F45" s="429">
        <v>650</v>
      </c>
      <c r="G45" s="429">
        <v>650</v>
      </c>
      <c r="H45" s="429">
        <v>3500</v>
      </c>
      <c r="I45" s="429">
        <f>H45+H45*5%</f>
        <v>3675</v>
      </c>
      <c r="J45" s="429">
        <f>I45+I45*5%</f>
        <v>3858.75</v>
      </c>
      <c r="K45" s="429">
        <f>J45+J45*5%</f>
        <v>4051.6875</v>
      </c>
      <c r="L45" s="429"/>
      <c r="M45" s="429"/>
      <c r="N45" s="429"/>
      <c r="O45" s="673"/>
      <c r="P45" s="8"/>
    </row>
    <row r="46" spans="1:16" ht="12.75" outlineLevel="1">
      <c r="A46" s="557"/>
      <c r="B46" s="460" t="s">
        <v>572</v>
      </c>
      <c r="C46" s="473" t="str">
        <f>VLOOKUP(B46,Справочники!$B:$F,3,FALSE)</f>
        <v>Услуги по по таможенному оформлению </v>
      </c>
      <c r="D46" s="735">
        <v>0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29"/>
      <c r="M46" s="429"/>
      <c r="N46" s="429"/>
      <c r="O46" s="673"/>
      <c r="P46" s="8"/>
    </row>
    <row r="47" spans="1:16" ht="12.75" outlineLevel="1">
      <c r="A47" s="557"/>
      <c r="B47" s="460" t="s">
        <v>573</v>
      </c>
      <c r="C47" s="473" t="str">
        <f>VLOOKUP(B47,Справочники!$B:$F,3,FALSE)</f>
        <v>Транспортные услуги</v>
      </c>
      <c r="D47" s="735">
        <v>0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0</v>
      </c>
      <c r="K47" s="429">
        <v>0</v>
      </c>
      <c r="L47" s="429"/>
      <c r="M47" s="429"/>
      <c r="N47" s="429"/>
      <c r="O47" s="673"/>
      <c r="P47" s="8"/>
    </row>
    <row r="48" spans="1:16" ht="12.75" outlineLevel="1">
      <c r="A48" s="557"/>
      <c r="B48" s="460" t="s">
        <v>705</v>
      </c>
      <c r="C48" s="473" t="str">
        <f>VLOOKUP(B48,Справочники!$B:$F,3,FALSE)</f>
        <v>Роялти</v>
      </c>
      <c r="D48" s="735">
        <f>'ОДР '!D16*Параметры!D$17</f>
        <v>0</v>
      </c>
      <c r="E48" s="429">
        <f>'ОДР '!E16*Параметры!E$17</f>
        <v>0</v>
      </c>
      <c r="F48" s="429">
        <f>'ОДР '!F16*Параметры!F$17</f>
        <v>0</v>
      </c>
      <c r="G48" s="429">
        <f>'ОДР '!G16*Параметры!G$17</f>
        <v>0</v>
      </c>
      <c r="H48" s="429">
        <f>'ОДР '!H16*Параметры!H$17</f>
        <v>77288.13559322034</v>
      </c>
      <c r="I48" s="429">
        <f>'ОДР '!I16*Параметры!I$17</f>
        <v>108203.38983050847</v>
      </c>
      <c r="J48" s="429">
        <f>'ОДР '!J16*Параметры!J$17</f>
        <v>154576.2711864407</v>
      </c>
      <c r="K48" s="429">
        <f>'ОДР '!K16*Параметры!K$17</f>
        <v>128813.5593220339</v>
      </c>
      <c r="L48" s="429">
        <f>'ОДР '!L16*Параметры!L$17</f>
        <v>82440.6779661017</v>
      </c>
      <c r="M48" s="429">
        <f>'ОДР '!M16*Параметры!M$17</f>
        <v>0</v>
      </c>
      <c r="N48" s="429">
        <f>'ОДР '!N16*Параметры!N$17</f>
        <v>0</v>
      </c>
      <c r="O48" s="673">
        <f>'ОДР '!O16*Параметры!O$17</f>
        <v>0</v>
      </c>
      <c r="P48" s="8"/>
    </row>
    <row r="49" spans="1:16" ht="12.75" outlineLevel="1">
      <c r="A49" s="557"/>
      <c r="B49" s="460" t="s">
        <v>785</v>
      </c>
      <c r="C49" s="473" t="str">
        <f>VLOOKUP(B49,Справочники!$B:$F,3,FALSE)</f>
        <v>Прочие услуги </v>
      </c>
      <c r="D49" s="735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673"/>
      <c r="P49" s="8"/>
    </row>
    <row r="50" spans="1:16" s="1" customFormat="1" ht="12.75">
      <c r="A50" s="674"/>
      <c r="B50" s="675" t="s">
        <v>110</v>
      </c>
      <c r="C50" s="462" t="str">
        <f>VLOOKUP(B50,Справочники!$B:$F,3,FALSE)</f>
        <v>Социальные расходы и расходы на развитие персонала</v>
      </c>
      <c r="D50" s="733">
        <f>SUM(D51,D57,D61,D66)</f>
        <v>1860</v>
      </c>
      <c r="E50" s="470">
        <f aca="true" t="shared" si="7" ref="E50:O50">SUM(E51,E57,E61,E66)</f>
        <v>1860</v>
      </c>
      <c r="F50" s="470">
        <f t="shared" si="7"/>
        <v>450</v>
      </c>
      <c r="G50" s="470">
        <f t="shared" si="7"/>
        <v>4950</v>
      </c>
      <c r="H50" s="470">
        <f t="shared" si="7"/>
        <v>7500</v>
      </c>
      <c r="I50" s="470">
        <f t="shared" si="7"/>
        <v>8000</v>
      </c>
      <c r="J50" s="470">
        <f t="shared" si="7"/>
        <v>9000</v>
      </c>
      <c r="K50" s="470">
        <f t="shared" si="7"/>
        <v>9500</v>
      </c>
      <c r="L50" s="470">
        <f t="shared" si="7"/>
        <v>0</v>
      </c>
      <c r="M50" s="470">
        <f t="shared" si="7"/>
        <v>0</v>
      </c>
      <c r="N50" s="470">
        <f t="shared" si="7"/>
        <v>0</v>
      </c>
      <c r="O50" s="734">
        <f t="shared" si="7"/>
        <v>0</v>
      </c>
      <c r="P50" s="45"/>
    </row>
    <row r="51" spans="1:16" s="1" customFormat="1" ht="12.75" outlineLevel="1">
      <c r="A51" s="674"/>
      <c r="B51" s="731" t="s">
        <v>111</v>
      </c>
      <c r="C51" s="732" t="str">
        <f>VLOOKUP(B51,Справочники!$B:$F,3,FALSE)</f>
        <v>Социальные выплаты и льготы</v>
      </c>
      <c r="D51" s="733">
        <f>SUM(D52:D54)</f>
        <v>0</v>
      </c>
      <c r="E51" s="470">
        <f aca="true" t="shared" si="8" ref="E51:O51">SUM(E52:E54)</f>
        <v>0</v>
      </c>
      <c r="F51" s="470">
        <f t="shared" si="8"/>
        <v>0</v>
      </c>
      <c r="G51" s="470">
        <f t="shared" si="8"/>
        <v>0</v>
      </c>
      <c r="H51" s="470">
        <f t="shared" si="8"/>
        <v>0</v>
      </c>
      <c r="I51" s="470">
        <f t="shared" si="8"/>
        <v>0</v>
      </c>
      <c r="J51" s="470">
        <f t="shared" si="8"/>
        <v>0</v>
      </c>
      <c r="K51" s="470">
        <f t="shared" si="8"/>
        <v>0</v>
      </c>
      <c r="L51" s="470">
        <f t="shared" si="8"/>
        <v>0</v>
      </c>
      <c r="M51" s="470">
        <f t="shared" si="8"/>
        <v>0</v>
      </c>
      <c r="N51" s="470">
        <f t="shared" si="8"/>
        <v>0</v>
      </c>
      <c r="O51" s="734">
        <f t="shared" si="8"/>
        <v>0</v>
      </c>
      <c r="P51" s="45"/>
    </row>
    <row r="52" spans="1:16" ht="12.75" outlineLevel="2">
      <c r="A52" s="739"/>
      <c r="B52" s="731" t="s">
        <v>579</v>
      </c>
      <c r="C52" s="730" t="str">
        <f>VLOOKUP(B52,Справочники!$B:$F,3,FALSE)</f>
        <v>медицинская страховка сотрудников</v>
      </c>
      <c r="D52" s="735">
        <v>0</v>
      </c>
      <c r="E52" s="429">
        <v>0</v>
      </c>
      <c r="F52" s="429">
        <v>0</v>
      </c>
      <c r="G52" s="429">
        <v>0</v>
      </c>
      <c r="H52" s="429">
        <v>0</v>
      </c>
      <c r="I52" s="429">
        <v>0</v>
      </c>
      <c r="J52" s="429">
        <v>0</v>
      </c>
      <c r="K52" s="429">
        <v>0</v>
      </c>
      <c r="L52" s="429"/>
      <c r="M52" s="429"/>
      <c r="N52" s="429"/>
      <c r="O52" s="673"/>
      <c r="P52" s="8"/>
    </row>
    <row r="53" spans="1:16" ht="12.75" outlineLevel="2">
      <c r="A53" s="739"/>
      <c r="B53" s="731" t="s">
        <v>580</v>
      </c>
      <c r="C53" s="730" t="str">
        <f>VLOOKUP(B53,Справочники!$B:$F,3,FALSE)</f>
        <v>медицинская страховка членов семьи</v>
      </c>
      <c r="D53" s="735">
        <v>0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0</v>
      </c>
      <c r="K53" s="429">
        <v>0</v>
      </c>
      <c r="L53" s="429"/>
      <c r="M53" s="429"/>
      <c r="N53" s="429"/>
      <c r="O53" s="673"/>
      <c r="P53" s="8"/>
    </row>
    <row r="54" spans="1:16" ht="12.75" outlineLevel="2">
      <c r="A54" s="739"/>
      <c r="B54" s="731" t="s">
        <v>581</v>
      </c>
      <c r="C54" s="730" t="str">
        <f>VLOOKUP(B54,Справочники!$B:$F,3,FALSE)</f>
        <v>пользование общественным транспортом</v>
      </c>
      <c r="D54" s="735">
        <v>0</v>
      </c>
      <c r="E54" s="429">
        <v>0</v>
      </c>
      <c r="F54" s="429">
        <v>0</v>
      </c>
      <c r="G54" s="429">
        <v>0</v>
      </c>
      <c r="H54" s="429">
        <v>0</v>
      </c>
      <c r="I54" s="429">
        <v>0</v>
      </c>
      <c r="J54" s="429">
        <v>0</v>
      </c>
      <c r="K54" s="429">
        <v>0</v>
      </c>
      <c r="L54" s="429"/>
      <c r="M54" s="429"/>
      <c r="N54" s="429"/>
      <c r="O54" s="673"/>
      <c r="P54" s="8"/>
    </row>
    <row r="55" spans="1:16" ht="12.75" outlineLevel="2">
      <c r="A55" s="739"/>
      <c r="B55" s="731" t="s">
        <v>582</v>
      </c>
      <c r="C55" s="730" t="str">
        <f>VLOOKUP(B55,Справочники!$B:$F,3,FALSE)</f>
        <v>оплата питания</v>
      </c>
      <c r="D55" s="735">
        <v>0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/>
      <c r="M55" s="429"/>
      <c r="N55" s="429"/>
      <c r="O55" s="673"/>
      <c r="P55" s="8"/>
    </row>
    <row r="56" spans="1:16" ht="12.75" outlineLevel="2">
      <c r="A56" s="739"/>
      <c r="B56" s="731" t="s">
        <v>583</v>
      </c>
      <c r="C56" s="730" t="str">
        <f>VLOOKUP(B56,Справочники!$B:$F,3,FALSE)</f>
        <v>материальная помощь к отпуску</v>
      </c>
      <c r="D56" s="735">
        <v>0</v>
      </c>
      <c r="E56" s="429">
        <v>0</v>
      </c>
      <c r="F56" s="429">
        <v>0</v>
      </c>
      <c r="G56" s="429">
        <v>0</v>
      </c>
      <c r="H56" s="429">
        <v>0</v>
      </c>
      <c r="I56" s="429">
        <v>0</v>
      </c>
      <c r="J56" s="429">
        <v>0</v>
      </c>
      <c r="K56" s="429">
        <v>0</v>
      </c>
      <c r="L56" s="429"/>
      <c r="M56" s="429"/>
      <c r="N56" s="429"/>
      <c r="O56" s="673"/>
      <c r="P56" s="8"/>
    </row>
    <row r="57" spans="1:16" s="1" customFormat="1" ht="12.75" outlineLevel="1">
      <c r="A57" s="674"/>
      <c r="B57" s="731" t="s">
        <v>112</v>
      </c>
      <c r="C57" s="732" t="str">
        <f>VLOOKUP(B57,Справочники!$B:$F,3,FALSE)</f>
        <v>Корпоративные мероприятия</v>
      </c>
      <c r="D57" s="733">
        <f>SUM(D58:D60)</f>
        <v>0</v>
      </c>
      <c r="E57" s="470">
        <f aca="true" t="shared" si="9" ref="E57:O57">SUM(E58:E60)</f>
        <v>0</v>
      </c>
      <c r="F57" s="470">
        <f t="shared" si="9"/>
        <v>0</v>
      </c>
      <c r="G57" s="470">
        <f t="shared" si="9"/>
        <v>4500</v>
      </c>
      <c r="H57" s="470">
        <f t="shared" si="9"/>
        <v>6000</v>
      </c>
      <c r="I57" s="470">
        <f t="shared" si="9"/>
        <v>6000</v>
      </c>
      <c r="J57" s="470">
        <f t="shared" si="9"/>
        <v>6500</v>
      </c>
      <c r="K57" s="470">
        <f t="shared" si="9"/>
        <v>6500</v>
      </c>
      <c r="L57" s="470">
        <f t="shared" si="9"/>
        <v>0</v>
      </c>
      <c r="M57" s="470">
        <f t="shared" si="9"/>
        <v>0</v>
      </c>
      <c r="N57" s="470">
        <f t="shared" si="9"/>
        <v>0</v>
      </c>
      <c r="O57" s="734">
        <f t="shared" si="9"/>
        <v>0</v>
      </c>
      <c r="P57" s="45"/>
    </row>
    <row r="58" spans="1:16" ht="12.75" outlineLevel="2">
      <c r="A58" s="739"/>
      <c r="B58" s="731" t="s">
        <v>584</v>
      </c>
      <c r="C58" s="730" t="str">
        <f>VLOOKUP(B58,Справочники!$B:$F,3,FALSE)</f>
        <v>дни рождения</v>
      </c>
      <c r="D58" s="735">
        <v>0</v>
      </c>
      <c r="E58" s="429">
        <v>0</v>
      </c>
      <c r="F58" s="429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/>
      <c r="M58" s="429"/>
      <c r="N58" s="429"/>
      <c r="O58" s="673"/>
      <c r="P58" s="8"/>
    </row>
    <row r="59" spans="1:16" ht="12.75" outlineLevel="2">
      <c r="A59" s="739"/>
      <c r="B59" s="731" t="s">
        <v>585</v>
      </c>
      <c r="C59" s="730" t="str">
        <f>VLOOKUP(B59,Справочники!$B:$F,3,FALSE)</f>
        <v>юбилеи</v>
      </c>
      <c r="D59" s="735">
        <v>0</v>
      </c>
      <c r="E59" s="429">
        <v>0</v>
      </c>
      <c r="F59" s="429">
        <v>0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29"/>
      <c r="M59" s="429"/>
      <c r="N59" s="429"/>
      <c r="O59" s="673"/>
      <c r="P59" s="8"/>
    </row>
    <row r="60" spans="1:16" ht="12.75" outlineLevel="2">
      <c r="A60" s="739"/>
      <c r="B60" s="731" t="s">
        <v>586</v>
      </c>
      <c r="C60" s="730" t="str">
        <f>VLOOKUP(B60,Справочники!$B:$F,3,FALSE)</f>
        <v>корпоративные праздники</v>
      </c>
      <c r="D60" s="735">
        <v>0</v>
      </c>
      <c r="E60" s="429">
        <v>0</v>
      </c>
      <c r="F60" s="429">
        <v>0</v>
      </c>
      <c r="G60" s="429">
        <v>4500</v>
      </c>
      <c r="H60" s="429">
        <v>6000</v>
      </c>
      <c r="I60" s="429">
        <v>6000</v>
      </c>
      <c r="J60" s="429">
        <v>6500</v>
      </c>
      <c r="K60" s="429">
        <v>6500</v>
      </c>
      <c r="L60" s="429"/>
      <c r="M60" s="429"/>
      <c r="N60" s="429"/>
      <c r="O60" s="673"/>
      <c r="P60" s="8"/>
    </row>
    <row r="61" spans="1:16" s="1" customFormat="1" ht="12.75" outlineLevel="1">
      <c r="A61" s="674"/>
      <c r="B61" s="731" t="s">
        <v>113</v>
      </c>
      <c r="C61" s="732" t="str">
        <f>VLOOKUP(B61,Справочники!$B:$F,3,FALSE)</f>
        <v>Обучение и развитие персонала</v>
      </c>
      <c r="D61" s="733">
        <f>SUM(D62:D65)</f>
        <v>1860</v>
      </c>
      <c r="E61" s="470">
        <f aca="true" t="shared" si="10" ref="E61:O61">SUM(E62:E65)</f>
        <v>1860</v>
      </c>
      <c r="F61" s="470">
        <f t="shared" si="10"/>
        <v>450</v>
      </c>
      <c r="G61" s="470">
        <f t="shared" si="10"/>
        <v>450</v>
      </c>
      <c r="H61" s="470">
        <f t="shared" si="10"/>
        <v>1500</v>
      </c>
      <c r="I61" s="470">
        <f t="shared" si="10"/>
        <v>2000</v>
      </c>
      <c r="J61" s="470">
        <f t="shared" si="10"/>
        <v>2500</v>
      </c>
      <c r="K61" s="470">
        <f t="shared" si="10"/>
        <v>3000</v>
      </c>
      <c r="L61" s="470">
        <f t="shared" si="10"/>
        <v>0</v>
      </c>
      <c r="M61" s="470">
        <f t="shared" si="10"/>
        <v>0</v>
      </c>
      <c r="N61" s="470">
        <f t="shared" si="10"/>
        <v>0</v>
      </c>
      <c r="O61" s="734">
        <f t="shared" si="10"/>
        <v>0</v>
      </c>
      <c r="P61" s="45"/>
    </row>
    <row r="62" spans="1:16" ht="12.75" outlineLevel="2">
      <c r="A62" s="739"/>
      <c r="B62" s="731" t="s">
        <v>587</v>
      </c>
      <c r="C62" s="730" t="str">
        <f>VLOOKUP(B62,Справочники!$B:$F,3,FALSE)</f>
        <v>обучение в ВУЗах</v>
      </c>
      <c r="D62" s="735">
        <f>1260+18000/Параметры!D14</f>
        <v>1860</v>
      </c>
      <c r="E62" s="429">
        <v>1860</v>
      </c>
      <c r="F62" s="429">
        <v>0</v>
      </c>
      <c r="G62" s="429">
        <v>0</v>
      </c>
      <c r="H62" s="429">
        <v>0</v>
      </c>
      <c r="I62" s="429">
        <v>0</v>
      </c>
      <c r="J62" s="429">
        <v>0</v>
      </c>
      <c r="K62" s="429">
        <v>0</v>
      </c>
      <c r="L62" s="429"/>
      <c r="M62" s="429"/>
      <c r="N62" s="429"/>
      <c r="O62" s="673"/>
      <c r="P62" s="8"/>
    </row>
    <row r="63" spans="1:16" ht="12.75" outlineLevel="2">
      <c r="A63" s="739"/>
      <c r="B63" s="731" t="s">
        <v>588</v>
      </c>
      <c r="C63" s="730" t="str">
        <f>VLOOKUP(B63,Справочники!$B:$F,3,FALSE)</f>
        <v>тренинги</v>
      </c>
      <c r="D63" s="735"/>
      <c r="E63" s="429"/>
      <c r="F63" s="429">
        <f>13500/Параметры!F14</f>
        <v>450</v>
      </c>
      <c r="G63" s="429">
        <v>450</v>
      </c>
      <c r="H63" s="429">
        <v>1500</v>
      </c>
      <c r="I63" s="429">
        <v>2000</v>
      </c>
      <c r="J63" s="429">
        <v>2500</v>
      </c>
      <c r="K63" s="429">
        <v>3000</v>
      </c>
      <c r="L63" s="429"/>
      <c r="M63" s="429"/>
      <c r="N63" s="429"/>
      <c r="O63" s="673"/>
      <c r="P63" s="8"/>
    </row>
    <row r="64" spans="1:16" ht="12.75" outlineLevel="2">
      <c r="A64" s="739"/>
      <c r="B64" s="731" t="s">
        <v>589</v>
      </c>
      <c r="C64" s="730" t="str">
        <f>VLOOKUP(B64,Справочники!$B:$F,3,FALSE)</f>
        <v>семинары</v>
      </c>
      <c r="D64" s="735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673"/>
      <c r="P64" s="8"/>
    </row>
    <row r="65" spans="1:16" ht="12.75" outlineLevel="2">
      <c r="A65" s="739"/>
      <c r="B65" s="731" t="s">
        <v>590</v>
      </c>
      <c r="C65" s="730" t="str">
        <f>VLOOKUP(B65,Справочники!$B:$F,3,FALSE)</f>
        <v>курсы повышения квалификации</v>
      </c>
      <c r="D65" s="735">
        <v>0</v>
      </c>
      <c r="E65" s="429">
        <v>0</v>
      </c>
      <c r="F65" s="429">
        <v>0</v>
      </c>
      <c r="G65" s="429">
        <v>0</v>
      </c>
      <c r="H65" s="429">
        <v>0</v>
      </c>
      <c r="I65" s="429">
        <v>0</v>
      </c>
      <c r="J65" s="429">
        <v>0</v>
      </c>
      <c r="K65" s="429">
        <v>0</v>
      </c>
      <c r="L65" s="429"/>
      <c r="M65" s="429"/>
      <c r="N65" s="429"/>
      <c r="O65" s="673"/>
      <c r="P65" s="8"/>
    </row>
    <row r="66" spans="1:16" s="1" customFormat="1" ht="12.75" outlineLevel="1">
      <c r="A66" s="674"/>
      <c r="B66" s="731" t="s">
        <v>114</v>
      </c>
      <c r="C66" s="732" t="str">
        <f>VLOOKUP(B66,Справочники!$B:$F,3,FALSE)</f>
        <v>Прочие расходы на персонал</v>
      </c>
      <c r="D66" s="733">
        <f>SUM(D67:D67)</f>
        <v>0</v>
      </c>
      <c r="E66" s="470">
        <f aca="true" t="shared" si="11" ref="E66:O66">SUM(E67:E67)</f>
        <v>0</v>
      </c>
      <c r="F66" s="470">
        <f t="shared" si="11"/>
        <v>0</v>
      </c>
      <c r="G66" s="470">
        <f t="shared" si="11"/>
        <v>0</v>
      </c>
      <c r="H66" s="470">
        <f t="shared" si="11"/>
        <v>0</v>
      </c>
      <c r="I66" s="470">
        <f t="shared" si="11"/>
        <v>0</v>
      </c>
      <c r="J66" s="470">
        <f t="shared" si="11"/>
        <v>0</v>
      </c>
      <c r="K66" s="470">
        <f t="shared" si="11"/>
        <v>0</v>
      </c>
      <c r="L66" s="470">
        <f t="shared" si="11"/>
        <v>0</v>
      </c>
      <c r="M66" s="470">
        <f t="shared" si="11"/>
        <v>0</v>
      </c>
      <c r="N66" s="470">
        <f t="shared" si="11"/>
        <v>0</v>
      </c>
      <c r="O66" s="734">
        <f t="shared" si="11"/>
        <v>0</v>
      </c>
      <c r="P66" s="45"/>
    </row>
    <row r="67" spans="1:16" ht="12.75" outlineLevel="2">
      <c r="A67" s="739"/>
      <c r="B67" s="731" t="s">
        <v>591</v>
      </c>
      <c r="C67" s="730" t="str">
        <f>VLOOKUP(B67,Справочники!$B:$F,3,FALSE)</f>
        <v>привлечение, увольнение, ротация персонала</v>
      </c>
      <c r="D67" s="735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673"/>
      <c r="P67" s="8"/>
    </row>
    <row r="68" spans="1:16" s="1" customFormat="1" ht="12.75">
      <c r="A68" s="674"/>
      <c r="B68" s="675" t="s">
        <v>115</v>
      </c>
      <c r="C68" s="462" t="str">
        <f>VLOOKUP(B68,Справочники!$B:$F,3,FALSE)</f>
        <v>Прочие расходы</v>
      </c>
      <c r="D68" s="733">
        <f aca="true" t="shared" si="12" ref="D68:O68">SUM(D69:D75)</f>
        <v>9000</v>
      </c>
      <c r="E68" s="470">
        <f t="shared" si="12"/>
        <v>10000</v>
      </c>
      <c r="F68" s="470">
        <f t="shared" si="12"/>
        <v>14000</v>
      </c>
      <c r="G68" s="470">
        <f t="shared" si="12"/>
        <v>23000</v>
      </c>
      <c r="H68" s="470">
        <f t="shared" si="12"/>
        <v>90000</v>
      </c>
      <c r="I68" s="470">
        <f t="shared" si="12"/>
        <v>100000</v>
      </c>
      <c r="J68" s="470">
        <f t="shared" si="12"/>
        <v>110500</v>
      </c>
      <c r="K68" s="470">
        <f t="shared" si="12"/>
        <v>66550</v>
      </c>
      <c r="L68" s="470">
        <f t="shared" si="12"/>
        <v>0</v>
      </c>
      <c r="M68" s="470">
        <f t="shared" si="12"/>
        <v>0</v>
      </c>
      <c r="N68" s="470">
        <f t="shared" si="12"/>
        <v>0</v>
      </c>
      <c r="O68" s="734">
        <f t="shared" si="12"/>
        <v>0</v>
      </c>
      <c r="P68" s="45"/>
    </row>
    <row r="69" spans="1:16" ht="12.75" outlineLevel="1">
      <c r="A69" s="557"/>
      <c r="B69" s="731" t="s">
        <v>116</v>
      </c>
      <c r="C69" s="473" t="str">
        <f>VLOOKUP(B69,Справочники!$B:$F,3,FALSE)</f>
        <v>Судебные расходы и арбитражные сборы</v>
      </c>
      <c r="D69" s="735">
        <v>0</v>
      </c>
      <c r="E69" s="429">
        <v>0</v>
      </c>
      <c r="F69" s="429">
        <v>0</v>
      </c>
      <c r="G69" s="429">
        <v>0</v>
      </c>
      <c r="H69" s="429">
        <v>0</v>
      </c>
      <c r="I69" s="429">
        <v>0</v>
      </c>
      <c r="J69" s="429">
        <v>0</v>
      </c>
      <c r="K69" s="429">
        <v>0</v>
      </c>
      <c r="L69" s="429"/>
      <c r="M69" s="429"/>
      <c r="N69" s="429"/>
      <c r="O69" s="673"/>
      <c r="P69" s="8"/>
    </row>
    <row r="70" spans="1:16" ht="12.75" outlineLevel="1">
      <c r="A70" s="557"/>
      <c r="B70" s="731" t="s">
        <v>118</v>
      </c>
      <c r="C70" s="473" t="str">
        <f>VLOOKUP(B70,Справочники!$B:$F,3,FALSE)</f>
        <v>Командировочные расходы</v>
      </c>
      <c r="D70" s="735">
        <v>4000</v>
      </c>
      <c r="E70" s="429">
        <v>5000</v>
      </c>
      <c r="F70" s="429">
        <v>9000</v>
      </c>
      <c r="G70" s="429">
        <v>18000</v>
      </c>
      <c r="H70" s="429">
        <v>50000</v>
      </c>
      <c r="I70" s="429">
        <f>H70+H70*10%</f>
        <v>55000</v>
      </c>
      <c r="J70" s="429">
        <f>I70+I70*10%</f>
        <v>60500</v>
      </c>
      <c r="K70" s="429">
        <f>J70+J70*10%</f>
        <v>66550</v>
      </c>
      <c r="L70" s="429"/>
      <c r="M70" s="429"/>
      <c r="N70" s="429"/>
      <c r="O70" s="673"/>
      <c r="P70" s="8"/>
    </row>
    <row r="71" spans="1:16" ht="12.75" outlineLevel="1">
      <c r="A71" s="557"/>
      <c r="B71" s="731" t="s">
        <v>119</v>
      </c>
      <c r="C71" s="473" t="str">
        <f>VLOOKUP(B71,Справочники!$B:$F,3,FALSE)</f>
        <v>Представительские расходы</v>
      </c>
      <c r="D71" s="735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673"/>
      <c r="P71" s="8"/>
    </row>
    <row r="72" spans="1:16" ht="12.75" outlineLevel="1">
      <c r="A72" s="557"/>
      <c r="B72" s="731" t="s">
        <v>120</v>
      </c>
      <c r="C72" s="473" t="str">
        <f>VLOOKUP(B72,Справочники!$B:$F,3,FALSE)</f>
        <v>Абонентская плата за поддержку ИС</v>
      </c>
      <c r="D72" s="735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673"/>
      <c r="P72" s="8"/>
    </row>
    <row r="73" spans="1:16" ht="12.75" outlineLevel="1">
      <c r="A73" s="557"/>
      <c r="B73" s="731" t="s">
        <v>121</v>
      </c>
      <c r="C73" s="473" t="str">
        <f>VLOOKUP(B73,Справочники!$B:$F,3,FALSE)</f>
        <v>Компенсация за использование личного транспорта</v>
      </c>
      <c r="D73" s="735">
        <v>0</v>
      </c>
      <c r="E73" s="429">
        <v>0</v>
      </c>
      <c r="F73" s="429">
        <v>0</v>
      </c>
      <c r="G73" s="429">
        <v>0</v>
      </c>
      <c r="H73" s="429">
        <v>0</v>
      </c>
      <c r="I73" s="429">
        <v>0</v>
      </c>
      <c r="J73" s="429">
        <v>0</v>
      </c>
      <c r="K73" s="429">
        <v>0</v>
      </c>
      <c r="L73" s="429"/>
      <c r="M73" s="429"/>
      <c r="N73" s="429"/>
      <c r="O73" s="673"/>
      <c r="P73" s="8"/>
    </row>
    <row r="74" spans="1:16" ht="12.75" outlineLevel="1">
      <c r="A74" s="557"/>
      <c r="B74" s="731" t="s">
        <v>122</v>
      </c>
      <c r="C74" s="473" t="str">
        <f>VLOOKUP(B74,Справочники!$B:$F,3,FALSE)</f>
        <v>Агентские вознаграждения</v>
      </c>
      <c r="D74" s="735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673"/>
      <c r="P74" s="8"/>
    </row>
    <row r="75" spans="1:16" ht="12.75" outlineLevel="1">
      <c r="A75" s="557"/>
      <c r="B75" s="731" t="s">
        <v>136</v>
      </c>
      <c r="C75" s="473" t="str">
        <f>VLOOKUP(B75,Справочники!$B:$F,3,FALSE)</f>
        <v>Прочие</v>
      </c>
      <c r="D75" s="735">
        <v>5000</v>
      </c>
      <c r="E75" s="429">
        <v>5000</v>
      </c>
      <c r="F75" s="429">
        <v>5000</v>
      </c>
      <c r="G75" s="429">
        <v>5000</v>
      </c>
      <c r="H75" s="429">
        <v>40000</v>
      </c>
      <c r="I75" s="429">
        <v>45000</v>
      </c>
      <c r="J75" s="429">
        <v>50000</v>
      </c>
      <c r="K75" s="429"/>
      <c r="L75" s="429"/>
      <c r="M75" s="429"/>
      <c r="N75" s="429"/>
      <c r="O75" s="673"/>
      <c r="P75" s="8"/>
    </row>
    <row r="76" spans="1:15" s="45" customFormat="1" ht="12.75">
      <c r="A76" s="558"/>
      <c r="B76" s="463"/>
      <c r="C76" s="467" t="s">
        <v>217</v>
      </c>
      <c r="D76" s="538">
        <f>D10+D24+D29+D50+D68</f>
        <v>40676</v>
      </c>
      <c r="E76" s="464">
        <f>E10+E24+E29+E50+E68</f>
        <v>41676</v>
      </c>
      <c r="F76" s="464">
        <f aca="true" t="shared" si="13" ref="F76:K76">F10+F24+F29+F50+F68</f>
        <v>44266</v>
      </c>
      <c r="G76" s="464">
        <f t="shared" si="13"/>
        <v>63566</v>
      </c>
      <c r="H76" s="464">
        <f t="shared" si="13"/>
        <v>469374.96892655373</v>
      </c>
      <c r="I76" s="464">
        <f t="shared" si="13"/>
        <v>539336.8064971751</v>
      </c>
      <c r="J76" s="464">
        <f t="shared" si="13"/>
        <v>621700.279519774</v>
      </c>
      <c r="K76" s="464">
        <f t="shared" si="13"/>
        <v>582815.5309887006</v>
      </c>
      <c r="L76" s="464">
        <f>SUM(L28,L42,L47,L68)</f>
        <v>0</v>
      </c>
      <c r="M76" s="464">
        <f>SUM(M28,M42,M47,M68)</f>
        <v>0</v>
      </c>
      <c r="N76" s="464">
        <f>SUM(N28,N42,N47,N68)</f>
        <v>0</v>
      </c>
      <c r="O76" s="736">
        <f>SUM(O28,O42,O47,O68)</f>
        <v>0</v>
      </c>
    </row>
    <row r="84" spans="4:15" ht="12.75">
      <c r="D84" s="588"/>
      <c r="E84" s="588"/>
      <c r="F84" s="588"/>
      <c r="G84" s="588"/>
      <c r="H84" s="588"/>
      <c r="I84" s="588"/>
      <c r="J84" s="588"/>
      <c r="K84" s="588"/>
      <c r="L84" s="588"/>
      <c r="M84" s="588"/>
      <c r="N84" s="588"/>
      <c r="O84" s="588"/>
    </row>
    <row r="85" spans="4:15" ht="12.75">
      <c r="D85" s="588"/>
      <c r="E85" s="588"/>
      <c r="F85" s="588"/>
      <c r="G85" s="588"/>
      <c r="H85" s="588"/>
      <c r="I85" s="588"/>
      <c r="J85" s="588"/>
      <c r="K85" s="588"/>
      <c r="L85" s="588"/>
      <c r="M85" s="588"/>
      <c r="N85" s="588"/>
      <c r="O85" s="588"/>
    </row>
    <row r="86" spans="4:15" ht="12.75">
      <c r="D86" s="588"/>
      <c r="E86" s="588"/>
      <c r="F86" s="588"/>
      <c r="G86" s="588"/>
      <c r="H86" s="588"/>
      <c r="I86" s="588"/>
      <c r="J86" s="588"/>
      <c r="K86" s="588"/>
      <c r="L86" s="588"/>
      <c r="M86" s="588"/>
      <c r="N86" s="588"/>
      <c r="O86" s="588"/>
    </row>
    <row r="88" spans="4:15" ht="12.75">
      <c r="D88" s="588"/>
      <c r="E88" s="588"/>
      <c r="F88" s="588"/>
      <c r="G88" s="588"/>
      <c r="H88" s="588"/>
      <c r="I88" s="588"/>
      <c r="J88" s="588"/>
      <c r="K88" s="588"/>
      <c r="L88" s="588"/>
      <c r="M88" s="588"/>
      <c r="N88" s="588"/>
      <c r="O88" s="588"/>
    </row>
  </sheetData>
  <sheetProtection/>
  <mergeCells count="13">
    <mergeCell ref="N7:N8"/>
    <mergeCell ref="O7:O8"/>
    <mergeCell ref="B4:O4"/>
    <mergeCell ref="B7:B8"/>
    <mergeCell ref="C7:C8"/>
    <mergeCell ref="H7:H8"/>
    <mergeCell ref="I7:I8"/>
    <mergeCell ref="J7:J8"/>
    <mergeCell ref="K7:K8"/>
    <mergeCell ref="L7:L8"/>
    <mergeCell ref="A7:A8"/>
    <mergeCell ref="D7:G7"/>
    <mergeCell ref="M7:M8"/>
  </mergeCells>
  <hyperlinks>
    <hyperlink ref="B1" location="Содержание!A1" display="Вернуться к содержанию"/>
  </hyperlinks>
  <printOptions/>
  <pageMargins left="0.75" right="0.21" top="0.22" bottom="0.26" header="0.19" footer="0.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94"/>
  <sheetViews>
    <sheetView zoomScale="90" zoomScaleNormal="90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" sqref="B1"/>
    </sheetView>
  </sheetViews>
  <sheetFormatPr defaultColWidth="9.00390625" defaultRowHeight="12.75" outlineLevelRow="2"/>
  <cols>
    <col min="1" max="1" width="0" style="556" hidden="1" customWidth="1"/>
    <col min="2" max="2" width="9.125" style="2" customWidth="1"/>
    <col min="3" max="3" width="52.375" style="2" customWidth="1"/>
    <col min="4" max="4" width="11.375" style="2" bestFit="1" customWidth="1"/>
    <col min="5" max="5" width="9.875" style="2" customWidth="1"/>
    <col min="6" max="6" width="10.00390625" style="2" customWidth="1"/>
    <col min="7" max="8" width="9.625" style="2" bestFit="1" customWidth="1"/>
    <col min="9" max="10" width="10.00390625" style="2" customWidth="1"/>
    <col min="11" max="12" width="10.25390625" style="2" bestFit="1" customWidth="1"/>
    <col min="13" max="15" width="10.00390625" style="2" customWidth="1"/>
    <col min="16" max="16384" width="9.125" style="2" customWidth="1"/>
  </cols>
  <sheetData>
    <row r="1" spans="2:3" ht="12.75">
      <c r="B1" s="587" t="s">
        <v>129</v>
      </c>
      <c r="C1" s="8"/>
    </row>
    <row r="3" spans="1:15" s="36" customFormat="1" ht="12.75">
      <c r="A3" s="559"/>
      <c r="C3" s="67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</row>
    <row r="4" spans="2:19" ht="30" customHeight="1">
      <c r="B4" s="1111" t="s">
        <v>735</v>
      </c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357"/>
      <c r="Q4" s="357"/>
      <c r="R4" s="357"/>
      <c r="S4" s="357"/>
    </row>
    <row r="5" spans="1:9" s="102" customFormat="1" ht="13.5">
      <c r="A5" s="556"/>
      <c r="C5" s="97"/>
      <c r="D5" s="97"/>
      <c r="E5" s="97"/>
      <c r="G5" s="97"/>
      <c r="H5" s="97"/>
      <c r="I5" s="97"/>
    </row>
    <row r="6" spans="1:9" s="102" customFormat="1" ht="13.5">
      <c r="A6" s="556"/>
      <c r="C6" s="97"/>
      <c r="D6" s="97"/>
      <c r="E6" s="97"/>
      <c r="G6" s="97"/>
      <c r="H6" s="97"/>
      <c r="I6" s="97"/>
    </row>
    <row r="7" spans="1:15" ht="12.75" customHeight="1">
      <c r="A7" s="1135" t="s">
        <v>117</v>
      </c>
      <c r="B7" s="1145" t="s">
        <v>264</v>
      </c>
      <c r="C7" s="1147" t="s">
        <v>186</v>
      </c>
      <c r="D7" s="1129">
        <f>Параметры!D3</f>
        <v>2006</v>
      </c>
      <c r="E7" s="1130"/>
      <c r="F7" s="1130"/>
      <c r="G7" s="1131"/>
      <c r="H7" s="1133">
        <f>D7+1</f>
        <v>2007</v>
      </c>
      <c r="I7" s="1121">
        <f>H7+1</f>
        <v>2008</v>
      </c>
      <c r="J7" s="1121">
        <f aca="true" t="shared" si="0" ref="J7:O7">I7+1</f>
        <v>2009</v>
      </c>
      <c r="K7" s="1121">
        <f t="shared" si="0"/>
        <v>2010</v>
      </c>
      <c r="L7" s="1121">
        <f t="shared" si="0"/>
        <v>2011</v>
      </c>
      <c r="M7" s="1121">
        <f t="shared" si="0"/>
        <v>2012</v>
      </c>
      <c r="N7" s="1121">
        <f t="shared" si="0"/>
        <v>2013</v>
      </c>
      <c r="O7" s="1121">
        <f t="shared" si="0"/>
        <v>2014</v>
      </c>
    </row>
    <row r="8" spans="1:16" s="12" customFormat="1" ht="12.75">
      <c r="A8" s="1135"/>
      <c r="B8" s="1146"/>
      <c r="C8" s="1148"/>
      <c r="D8" s="763" t="s">
        <v>725</v>
      </c>
      <c r="E8" s="763" t="s">
        <v>726</v>
      </c>
      <c r="F8" s="763" t="s">
        <v>727</v>
      </c>
      <c r="G8" s="763" t="s">
        <v>728</v>
      </c>
      <c r="H8" s="1133"/>
      <c r="I8" s="1122"/>
      <c r="J8" s="1122"/>
      <c r="K8" s="1122"/>
      <c r="L8" s="1122"/>
      <c r="M8" s="1122"/>
      <c r="N8" s="1122"/>
      <c r="O8" s="1122"/>
      <c r="P8" s="102"/>
    </row>
    <row r="9" spans="1:16" s="93" customFormat="1" ht="12.75">
      <c r="A9" s="676"/>
      <c r="B9" s="11">
        <v>1</v>
      </c>
      <c r="C9" s="11">
        <f aca="true" t="shared" si="1" ref="C9:O9">B9+1</f>
        <v>2</v>
      </c>
      <c r="D9" s="11">
        <f t="shared" si="1"/>
        <v>3</v>
      </c>
      <c r="E9" s="11">
        <f t="shared" si="1"/>
        <v>4</v>
      </c>
      <c r="F9" s="11">
        <f t="shared" si="1"/>
        <v>5</v>
      </c>
      <c r="G9" s="11">
        <f t="shared" si="1"/>
        <v>6</v>
      </c>
      <c r="H9" s="11">
        <f t="shared" si="1"/>
        <v>7</v>
      </c>
      <c r="I9" s="11">
        <f t="shared" si="1"/>
        <v>8</v>
      </c>
      <c r="J9" s="11">
        <f t="shared" si="1"/>
        <v>9</v>
      </c>
      <c r="K9" s="11">
        <f t="shared" si="1"/>
        <v>10</v>
      </c>
      <c r="L9" s="11">
        <f t="shared" si="1"/>
        <v>11</v>
      </c>
      <c r="M9" s="11">
        <f t="shared" si="1"/>
        <v>12</v>
      </c>
      <c r="N9" s="11">
        <f t="shared" si="1"/>
        <v>13</v>
      </c>
      <c r="O9" s="11">
        <f t="shared" si="1"/>
        <v>14</v>
      </c>
      <c r="P9" s="2"/>
    </row>
    <row r="10" spans="1:16" s="1" customFormat="1" ht="12.75">
      <c r="A10" s="674"/>
      <c r="B10" s="675" t="s">
        <v>295</v>
      </c>
      <c r="C10" s="462" t="str">
        <f>VLOOKUP(B10,Справочники!$B:$F,3,FALSE)</f>
        <v>Материальные затраты</v>
      </c>
      <c r="D10" s="733">
        <f>SUM(D11:D23)</f>
        <v>1100</v>
      </c>
      <c r="E10" s="470">
        <f aca="true" t="shared" si="2" ref="E10:O10">SUM(E11:E23)</f>
        <v>1100</v>
      </c>
      <c r="F10" s="470">
        <f t="shared" si="2"/>
        <v>1100</v>
      </c>
      <c r="G10" s="470">
        <f t="shared" si="2"/>
        <v>1100</v>
      </c>
      <c r="H10" s="470">
        <f t="shared" si="2"/>
        <v>5000</v>
      </c>
      <c r="I10" s="470">
        <f t="shared" si="2"/>
        <v>5500</v>
      </c>
      <c r="J10" s="470">
        <f t="shared" si="2"/>
        <v>6000</v>
      </c>
      <c r="K10" s="470">
        <f t="shared" si="2"/>
        <v>6500</v>
      </c>
      <c r="L10" s="470">
        <f t="shared" si="2"/>
        <v>0</v>
      </c>
      <c r="M10" s="470">
        <f t="shared" si="2"/>
        <v>0</v>
      </c>
      <c r="N10" s="470">
        <f t="shared" si="2"/>
        <v>0</v>
      </c>
      <c r="O10" s="734">
        <f t="shared" si="2"/>
        <v>0</v>
      </c>
      <c r="P10" s="45"/>
    </row>
    <row r="11" spans="1:16" ht="12.75" outlineLevel="1">
      <c r="A11" s="557"/>
      <c r="B11" s="460" t="s">
        <v>296</v>
      </c>
      <c r="C11" s="473" t="str">
        <f>VLOOKUP(B11,Справочники!$B:$F,3,FALSE)</f>
        <v>Материалы на содержание и ремонт зданий и сооружений</v>
      </c>
      <c r="D11" s="456">
        <f>VLOOKUP($B11,'Коммерческий отдел'!$B$10:$O$58,COLUMN('Коммерческий отдел'!D:D)-1,FALSE)+VLOOKUP($B11,'Технический отдел'!$B$10:$O$58,COLUMN('Технический отдел'!D:D)-1,FALSE)+VLOOKUP($B11,'Управленческий блок'!$B$10:$O$76,COLUMN('Управленческий блок'!D:D)-1,FALSE)</f>
        <v>0</v>
      </c>
      <c r="E11" s="721">
        <f>VLOOKUP($B11,'Коммерческий отдел'!$B$10:$O$58,COLUMN('Коммерческий отдел'!E:E)-1,FALSE)+VLOOKUP($B11,'Технический отдел'!$B$10:$O$58,COLUMN('Технический отдел'!E:E)-1,FALSE)+VLOOKUP($B11,'Управленческий блок'!$B$10:$O$76,COLUMN('Управленческий блок'!E:E)-1,FALSE)</f>
        <v>0</v>
      </c>
      <c r="F11" s="721">
        <f>VLOOKUP($B11,'Коммерческий отдел'!$B$10:$O$58,COLUMN('Коммерческий отдел'!F:F)-1,FALSE)+VLOOKUP($B11,'Технический отдел'!$B$10:$O$58,COLUMN('Технический отдел'!F:F)-1,FALSE)+VLOOKUP($B11,'Управленческий блок'!$B$10:$O$76,COLUMN('Управленческий блок'!F:F)-1,FALSE)</f>
        <v>0</v>
      </c>
      <c r="G11" s="721">
        <f>VLOOKUP($B11,'Коммерческий отдел'!$B$10:$O$58,COLUMN('Коммерческий отдел'!G:G)-1,FALSE)+VLOOKUP($B11,'Технический отдел'!$B$10:$O$58,COLUMN('Технический отдел'!G:G)-1,FALSE)+VLOOKUP($B11,'Управленческий блок'!$B$10:$O$76,COLUMN('Управленческий блок'!G:G)-1,FALSE)</f>
        <v>0</v>
      </c>
      <c r="H11" s="721">
        <f>VLOOKUP($B11,'Коммерческий отдел'!$B$10:$O$58,COLUMN('Коммерческий отдел'!H:H)-1,FALSE)+VLOOKUP($B11,'Технический отдел'!$B$10:$O$58,COLUMN('Технический отдел'!H:H)-1,FALSE)+VLOOKUP($B11,'Управленческий блок'!$B$10:$O$76,COLUMN('Управленческий блок'!H:H)-1,FALSE)</f>
        <v>0</v>
      </c>
      <c r="I11" s="721">
        <f>VLOOKUP($B11,'Коммерческий отдел'!$B$10:$O$58,COLUMN('Коммерческий отдел'!I:I)-1,FALSE)+VLOOKUP($B11,'Технический отдел'!$B$10:$O$58,COLUMN('Технический отдел'!I:I)-1,FALSE)+VLOOKUP($B11,'Управленческий блок'!$B$10:$O$76,COLUMN('Управленческий блок'!I:I)-1,FALSE)</f>
        <v>0</v>
      </c>
      <c r="J11" s="721">
        <f>VLOOKUP($B11,'Коммерческий отдел'!$B$10:$O$58,COLUMN('Коммерческий отдел'!J:J)-1,FALSE)+VLOOKUP($B11,'Технический отдел'!$B$10:$O$58,COLUMN('Технический отдел'!J:J)-1,FALSE)+VLOOKUP($B11,'Управленческий блок'!$B$10:$O$76,COLUMN('Управленческий блок'!J:J)-1,FALSE)</f>
        <v>0</v>
      </c>
      <c r="K11" s="721">
        <f>VLOOKUP($B11,'Коммерческий отдел'!$B$10:$O$58,COLUMN('Коммерческий отдел'!K:K)-1,FALSE)+VLOOKUP($B11,'Технический отдел'!$B$10:$O$58,COLUMN('Технический отдел'!K:K)-1,FALSE)+VLOOKUP($B11,'Управленческий блок'!$B$10:$O$76,COLUMN('Управленческий блок'!K:K)-1,FALSE)</f>
        <v>0</v>
      </c>
      <c r="L11" s="721">
        <f>VLOOKUP($B11,'Коммерческий отдел'!$B$10:$O$58,COLUMN('Коммерческий отдел'!L:L)-1,FALSE)+VLOOKUP($B11,'Технический отдел'!$B$10:$O$58,COLUMN('Технический отдел'!L:L)-1,FALSE)+VLOOKUP($B11,'Управленческий блок'!$B$10:$O$76,COLUMN('Управленческий блок'!L:L)-1,FALSE)</f>
        <v>0</v>
      </c>
      <c r="M11" s="721">
        <f>VLOOKUP($B11,'Коммерческий отдел'!$B$10:$O$58,COLUMN('Коммерческий отдел'!M:M)-1,FALSE)+VLOOKUP($B11,'Технический отдел'!$B$10:$O$58,COLUMN('Технический отдел'!M:M)-1,FALSE)+VLOOKUP($B11,'Управленческий блок'!$B$10:$O$76,COLUMN('Управленческий блок'!M:M)-1,FALSE)</f>
        <v>0</v>
      </c>
      <c r="N11" s="721">
        <f>VLOOKUP($B11,'Коммерческий отдел'!$B$10:$O$58,COLUMN('Коммерческий отдел'!N:N)-1,FALSE)+VLOOKUP($B11,'Технический отдел'!$B$10:$O$58,COLUMN('Технический отдел'!N:N)-1,FALSE)+VLOOKUP($B11,'Управленческий блок'!$B$10:$O$76,COLUMN('Управленческий блок'!N:N)-1,FALSE)</f>
        <v>0</v>
      </c>
      <c r="O11" s="722">
        <f>VLOOKUP($B11,'Коммерческий отдел'!$B$10:$O$58,COLUMN('Коммерческий отдел'!O:O)-1,FALSE)+VLOOKUP($B11,'Технический отдел'!$B$10:$O$58,COLUMN('Технический отдел'!O:O)-1,FALSE)+VLOOKUP($B11,'Управленческий блок'!$B$10:$O$76,COLUMN('Управленческий блок'!O:O)-1,FALSE)</f>
        <v>0</v>
      </c>
      <c r="P11" s="8"/>
    </row>
    <row r="12" spans="1:16" ht="12.75" outlineLevel="1">
      <c r="A12" s="557"/>
      <c r="B12" s="460" t="s">
        <v>297</v>
      </c>
      <c r="C12" s="471" t="str">
        <f>VLOOKUP(B12,Справочники!$B:$F,3,FALSE)</f>
        <v>Материалы на содержание и ремонт транспортных средств</v>
      </c>
      <c r="D12" s="456">
        <f>VLOOKUP($B12,'Коммерческий отдел'!$B$10:$O$58,COLUMN('Коммерческий отдел'!D:D)-1,FALSE)+VLOOKUP($B12,'Технический отдел'!$B$10:$O$58,COLUMN('Технический отдел'!D:D)-1,FALSE)+VLOOKUP($B12,'Управленческий блок'!$B$10:$O$76,COLUMN('Управленческий блок'!D:D)-1,FALSE)</f>
        <v>0</v>
      </c>
      <c r="E12" s="721">
        <f>VLOOKUP($B12,'Коммерческий отдел'!$B$10:$O$58,COLUMN('Коммерческий отдел'!E:E)-1,FALSE)+VLOOKUP($B12,'Технический отдел'!$B$10:$O$58,COLUMN('Технический отдел'!E:E)-1,FALSE)+VLOOKUP($B12,'Управленческий блок'!$B$10:$O$76,COLUMN('Управленческий блок'!E:E)-1,FALSE)</f>
        <v>0</v>
      </c>
      <c r="F12" s="721">
        <f>VLOOKUP($B12,'Коммерческий отдел'!$B$10:$O$58,COLUMN('Коммерческий отдел'!F:F)-1,FALSE)+VLOOKUP($B12,'Технический отдел'!$B$10:$O$58,COLUMN('Технический отдел'!F:F)-1,FALSE)+VLOOKUP($B12,'Управленческий блок'!$B$10:$O$76,COLUMN('Управленческий блок'!F:F)-1,FALSE)</f>
        <v>0</v>
      </c>
      <c r="G12" s="721">
        <f>VLOOKUP($B12,'Коммерческий отдел'!$B$10:$O$58,COLUMN('Коммерческий отдел'!G:G)-1,FALSE)+VLOOKUP($B12,'Технический отдел'!$B$10:$O$58,COLUMN('Технический отдел'!G:G)-1,FALSE)+VLOOKUP($B12,'Управленческий блок'!$B$10:$O$76,COLUMN('Управленческий блок'!G:G)-1,FALSE)</f>
        <v>0</v>
      </c>
      <c r="H12" s="721">
        <f>VLOOKUP($B12,'Коммерческий отдел'!$B$10:$O$58,COLUMN('Коммерческий отдел'!H:H)-1,FALSE)+VLOOKUP($B12,'Технический отдел'!$B$10:$O$58,COLUMN('Технический отдел'!H:H)-1,FALSE)+VLOOKUP($B12,'Управленческий блок'!$B$10:$O$76,COLUMN('Управленческий блок'!H:H)-1,FALSE)</f>
        <v>0</v>
      </c>
      <c r="I12" s="721">
        <f>VLOOKUP($B12,'Коммерческий отдел'!$B$10:$O$58,COLUMN('Коммерческий отдел'!I:I)-1,FALSE)+VLOOKUP($B12,'Технический отдел'!$B$10:$O$58,COLUMN('Технический отдел'!I:I)-1,FALSE)+VLOOKUP($B12,'Управленческий блок'!$B$10:$O$76,COLUMN('Управленческий блок'!I:I)-1,FALSE)</f>
        <v>0</v>
      </c>
      <c r="J12" s="721">
        <f>VLOOKUP($B12,'Коммерческий отдел'!$B$10:$O$58,COLUMN('Коммерческий отдел'!J:J)-1,FALSE)+VLOOKUP($B12,'Технический отдел'!$B$10:$O$58,COLUMN('Технический отдел'!J:J)-1,FALSE)+VLOOKUP($B12,'Управленческий блок'!$B$10:$O$76,COLUMN('Управленческий блок'!J:J)-1,FALSE)</f>
        <v>0</v>
      </c>
      <c r="K12" s="721">
        <f>VLOOKUP($B12,'Коммерческий отдел'!$B$10:$O$58,COLUMN('Коммерческий отдел'!K:K)-1,FALSE)+VLOOKUP($B12,'Технический отдел'!$B$10:$O$58,COLUMN('Технический отдел'!K:K)-1,FALSE)+VLOOKUP($B12,'Управленческий блок'!$B$10:$O$76,COLUMN('Управленческий блок'!K:K)-1,FALSE)</f>
        <v>0</v>
      </c>
      <c r="L12" s="721">
        <f>VLOOKUP($B12,'Коммерческий отдел'!$B$10:$O$58,COLUMN('Коммерческий отдел'!L:L)-1,FALSE)+VLOOKUP($B12,'Технический отдел'!$B$10:$O$58,COLUMN('Технический отдел'!L:L)-1,FALSE)+VLOOKUP($B12,'Управленческий блок'!$B$10:$O$76,COLUMN('Управленческий блок'!L:L)-1,FALSE)</f>
        <v>0</v>
      </c>
      <c r="M12" s="721">
        <f>VLOOKUP($B12,'Коммерческий отдел'!$B$10:$O$58,COLUMN('Коммерческий отдел'!M:M)-1,FALSE)+VLOOKUP($B12,'Технический отдел'!$B$10:$O$58,COLUMN('Технический отдел'!M:M)-1,FALSE)+VLOOKUP($B12,'Управленческий блок'!$B$10:$O$76,COLUMN('Управленческий блок'!M:M)-1,FALSE)</f>
        <v>0</v>
      </c>
      <c r="N12" s="721">
        <f>VLOOKUP($B12,'Коммерческий отдел'!$B$10:$O$58,COLUMN('Коммерческий отдел'!N:N)-1,FALSE)+VLOOKUP($B12,'Технический отдел'!$B$10:$O$58,COLUMN('Технический отдел'!N:N)-1,FALSE)+VLOOKUP($B12,'Управленческий блок'!$B$10:$O$76,COLUMN('Управленческий блок'!N:N)-1,FALSE)</f>
        <v>0</v>
      </c>
      <c r="O12" s="722">
        <f>VLOOKUP($B12,'Коммерческий отдел'!$B$10:$O$58,COLUMN('Коммерческий отдел'!O:O)-1,FALSE)+VLOOKUP($B12,'Технический отдел'!$B$10:$O$58,COLUMN('Технический отдел'!O:O)-1,FALSE)+VLOOKUP($B12,'Управленческий блок'!$B$10:$O$76,COLUMN('Управленческий блок'!O:O)-1,FALSE)</f>
        <v>0</v>
      </c>
      <c r="P12" s="8"/>
    </row>
    <row r="13" spans="1:16" ht="12.75" outlineLevel="1">
      <c r="A13" s="557"/>
      <c r="B13" s="460" t="s">
        <v>298</v>
      </c>
      <c r="C13" s="471" t="str">
        <f>VLOOKUP(B13,Справочники!$B:$F,3,FALSE)</f>
        <v>Материалы на содержание и ремонт технол. оборудования</v>
      </c>
      <c r="D13" s="456">
        <f>VLOOKUP($B13,'Коммерческий отдел'!$B$10:$O$58,COLUMN('Коммерческий отдел'!D:D)-1,FALSE)+VLOOKUP($B13,'Технический отдел'!$B$10:$O$58,COLUMN('Технический отдел'!D:D)-1,FALSE)+VLOOKUP($B13,'Управленческий блок'!$B$10:$O$76,COLUMN('Управленческий блок'!D:D)-1,FALSE)</f>
        <v>0</v>
      </c>
      <c r="E13" s="721">
        <f>VLOOKUP($B13,'Коммерческий отдел'!$B$10:$O$58,COLUMN('Коммерческий отдел'!E:E)-1,FALSE)+VLOOKUP($B13,'Технический отдел'!$B$10:$O$58,COLUMN('Технический отдел'!E:E)-1,FALSE)+VLOOKUP($B13,'Управленческий блок'!$B$10:$O$76,COLUMN('Управленческий блок'!E:E)-1,FALSE)</f>
        <v>0</v>
      </c>
      <c r="F13" s="721">
        <f>VLOOKUP($B13,'Коммерческий отдел'!$B$10:$O$58,COLUMN('Коммерческий отдел'!F:F)-1,FALSE)+VLOOKUP($B13,'Технический отдел'!$B$10:$O$58,COLUMN('Технический отдел'!F:F)-1,FALSE)+VLOOKUP($B13,'Управленческий блок'!$B$10:$O$76,COLUMN('Управленческий блок'!F:F)-1,FALSE)</f>
        <v>0</v>
      </c>
      <c r="G13" s="721">
        <f>VLOOKUP($B13,'Коммерческий отдел'!$B$10:$O$58,COLUMN('Коммерческий отдел'!G:G)-1,FALSE)+VLOOKUP($B13,'Технический отдел'!$B$10:$O$58,COLUMN('Технический отдел'!G:G)-1,FALSE)+VLOOKUP($B13,'Управленческий блок'!$B$10:$O$76,COLUMN('Управленческий блок'!G:G)-1,FALSE)</f>
        <v>0</v>
      </c>
      <c r="H13" s="721">
        <f>VLOOKUP($B13,'Коммерческий отдел'!$B$10:$O$58,COLUMN('Коммерческий отдел'!H:H)-1,FALSE)+VLOOKUP($B13,'Технический отдел'!$B$10:$O$58,COLUMN('Технический отдел'!H:H)-1,FALSE)+VLOOKUP($B13,'Управленческий блок'!$B$10:$O$76,COLUMN('Управленческий блок'!H:H)-1,FALSE)</f>
        <v>0</v>
      </c>
      <c r="I13" s="721">
        <f>VLOOKUP($B13,'Коммерческий отдел'!$B$10:$O$58,COLUMN('Коммерческий отдел'!I:I)-1,FALSE)+VLOOKUP($B13,'Технический отдел'!$B$10:$O$58,COLUMN('Технический отдел'!I:I)-1,FALSE)+VLOOKUP($B13,'Управленческий блок'!$B$10:$O$76,COLUMN('Управленческий блок'!I:I)-1,FALSE)</f>
        <v>0</v>
      </c>
      <c r="J13" s="721">
        <f>VLOOKUP($B13,'Коммерческий отдел'!$B$10:$O$58,COLUMN('Коммерческий отдел'!J:J)-1,FALSE)+VLOOKUP($B13,'Технический отдел'!$B$10:$O$58,COLUMN('Технический отдел'!J:J)-1,FALSE)+VLOOKUP($B13,'Управленческий блок'!$B$10:$O$76,COLUMN('Управленческий блок'!J:J)-1,FALSE)</f>
        <v>0</v>
      </c>
      <c r="K13" s="721">
        <f>VLOOKUP($B13,'Коммерческий отдел'!$B$10:$O$58,COLUMN('Коммерческий отдел'!K:K)-1,FALSE)+VLOOKUP($B13,'Технический отдел'!$B$10:$O$58,COLUMN('Технический отдел'!K:K)-1,FALSE)+VLOOKUP($B13,'Управленческий блок'!$B$10:$O$76,COLUMN('Управленческий блок'!K:K)-1,FALSE)</f>
        <v>0</v>
      </c>
      <c r="L13" s="721">
        <f>VLOOKUP($B13,'Коммерческий отдел'!$B$10:$O$58,COLUMN('Коммерческий отдел'!L:L)-1,FALSE)+VLOOKUP($B13,'Технический отдел'!$B$10:$O$58,COLUMN('Технический отдел'!L:L)-1,FALSE)+VLOOKUP($B13,'Управленческий блок'!$B$10:$O$76,COLUMN('Управленческий блок'!L:L)-1,FALSE)</f>
        <v>0</v>
      </c>
      <c r="M13" s="721">
        <f>VLOOKUP($B13,'Коммерческий отдел'!$B$10:$O$58,COLUMN('Коммерческий отдел'!M:M)-1,FALSE)+VLOOKUP($B13,'Технический отдел'!$B$10:$O$58,COLUMN('Технический отдел'!M:M)-1,FALSE)+VLOOKUP($B13,'Управленческий блок'!$B$10:$O$76,COLUMN('Управленческий блок'!M:M)-1,FALSE)</f>
        <v>0</v>
      </c>
      <c r="N13" s="721">
        <f>VLOOKUP($B13,'Коммерческий отдел'!$B$10:$O$58,COLUMN('Коммерческий отдел'!N:N)-1,FALSE)+VLOOKUP($B13,'Технический отдел'!$B$10:$O$58,COLUMN('Технический отдел'!N:N)-1,FALSE)+VLOOKUP($B13,'Управленческий блок'!$B$10:$O$76,COLUMN('Управленческий блок'!N:N)-1,FALSE)</f>
        <v>0</v>
      </c>
      <c r="O13" s="722">
        <f>VLOOKUP($B13,'Коммерческий отдел'!$B$10:$O$58,COLUMN('Коммерческий отдел'!O:O)-1,FALSE)+VLOOKUP($B13,'Технический отдел'!$B$10:$O$58,COLUMN('Технический отдел'!O:O)-1,FALSE)+VLOOKUP($B13,'Управленческий блок'!$B$10:$O$76,COLUMN('Управленческий блок'!O:O)-1,FALSE)</f>
        <v>0</v>
      </c>
      <c r="P13" s="8"/>
    </row>
    <row r="14" spans="1:16" ht="12.75" outlineLevel="1">
      <c r="A14" s="557"/>
      <c r="B14" s="460" t="s">
        <v>299</v>
      </c>
      <c r="C14" s="471" t="str">
        <f>VLOOKUP(B14,Справочники!$B:$F,3,FALSE)</f>
        <v>ГСМ</v>
      </c>
      <c r="D14" s="456">
        <f>VLOOKUP($B14,'Коммерческий отдел'!$B$10:$O$58,COLUMN('Коммерческий отдел'!D:D)-1,FALSE)+VLOOKUP($B14,'Технический отдел'!$B$10:$O$58,COLUMN('Технический отдел'!D:D)-1,FALSE)+VLOOKUP($B14,'Управленческий блок'!$B$10:$O$76,COLUMN('Управленческий блок'!D:D)-1,FALSE)</f>
        <v>0</v>
      </c>
      <c r="E14" s="721">
        <f>VLOOKUP($B14,'Коммерческий отдел'!$B$10:$O$58,COLUMN('Коммерческий отдел'!E:E)-1,FALSE)+VLOOKUP($B14,'Технический отдел'!$B$10:$O$58,COLUMN('Технический отдел'!E:E)-1,FALSE)+VLOOKUP($B14,'Управленческий блок'!$B$10:$O$76,COLUMN('Управленческий блок'!E:E)-1,FALSE)</f>
        <v>0</v>
      </c>
      <c r="F14" s="721">
        <f>VLOOKUP($B14,'Коммерческий отдел'!$B$10:$O$58,COLUMN('Коммерческий отдел'!F:F)-1,FALSE)+VLOOKUP($B14,'Технический отдел'!$B$10:$O$58,COLUMN('Технический отдел'!F:F)-1,FALSE)+VLOOKUP($B14,'Управленческий блок'!$B$10:$O$76,COLUMN('Управленческий блок'!F:F)-1,FALSE)</f>
        <v>0</v>
      </c>
      <c r="G14" s="721">
        <f>VLOOKUP($B14,'Коммерческий отдел'!$B$10:$O$58,COLUMN('Коммерческий отдел'!G:G)-1,FALSE)+VLOOKUP($B14,'Технический отдел'!$B$10:$O$58,COLUMN('Технический отдел'!G:G)-1,FALSE)+VLOOKUP($B14,'Управленческий блок'!$B$10:$O$76,COLUMN('Управленческий блок'!G:G)-1,FALSE)</f>
        <v>0</v>
      </c>
      <c r="H14" s="721">
        <f>VLOOKUP($B14,'Коммерческий отдел'!$B$10:$O$58,COLUMN('Коммерческий отдел'!H:H)-1,FALSE)+VLOOKUP($B14,'Технический отдел'!$B$10:$O$58,COLUMN('Технический отдел'!H:H)-1,FALSE)+VLOOKUP($B14,'Управленческий блок'!$B$10:$O$76,COLUMN('Управленческий блок'!H:H)-1,FALSE)</f>
        <v>0</v>
      </c>
      <c r="I14" s="721">
        <f>VLOOKUP($B14,'Коммерческий отдел'!$B$10:$O$58,COLUMN('Коммерческий отдел'!I:I)-1,FALSE)+VLOOKUP($B14,'Технический отдел'!$B$10:$O$58,COLUMN('Технический отдел'!I:I)-1,FALSE)+VLOOKUP($B14,'Управленческий блок'!$B$10:$O$76,COLUMN('Управленческий блок'!I:I)-1,FALSE)</f>
        <v>0</v>
      </c>
      <c r="J14" s="721">
        <f>VLOOKUP($B14,'Коммерческий отдел'!$B$10:$O$58,COLUMN('Коммерческий отдел'!J:J)-1,FALSE)+VLOOKUP($B14,'Технический отдел'!$B$10:$O$58,COLUMN('Технический отдел'!J:J)-1,FALSE)+VLOOKUP($B14,'Управленческий блок'!$B$10:$O$76,COLUMN('Управленческий блок'!J:J)-1,FALSE)</f>
        <v>0</v>
      </c>
      <c r="K14" s="721">
        <f>VLOOKUP($B14,'Коммерческий отдел'!$B$10:$O$58,COLUMN('Коммерческий отдел'!K:K)-1,FALSE)+VLOOKUP($B14,'Технический отдел'!$B$10:$O$58,COLUMN('Технический отдел'!K:K)-1,FALSE)+VLOOKUP($B14,'Управленческий блок'!$B$10:$O$76,COLUMN('Управленческий блок'!K:K)-1,FALSE)</f>
        <v>0</v>
      </c>
      <c r="L14" s="721">
        <f>VLOOKUP($B14,'Коммерческий отдел'!$B$10:$O$58,COLUMN('Коммерческий отдел'!L:L)-1,FALSE)+VLOOKUP($B14,'Технический отдел'!$B$10:$O$58,COLUMN('Технический отдел'!L:L)-1,FALSE)+VLOOKUP($B14,'Управленческий блок'!$B$10:$O$76,COLUMN('Управленческий блок'!L:L)-1,FALSE)</f>
        <v>0</v>
      </c>
      <c r="M14" s="721">
        <f>VLOOKUP($B14,'Коммерческий отдел'!$B$10:$O$58,COLUMN('Коммерческий отдел'!M:M)-1,FALSE)+VLOOKUP($B14,'Технический отдел'!$B$10:$O$58,COLUMN('Технический отдел'!M:M)-1,FALSE)+VLOOKUP($B14,'Управленческий блок'!$B$10:$O$76,COLUMN('Управленческий блок'!M:M)-1,FALSE)</f>
        <v>0</v>
      </c>
      <c r="N14" s="721">
        <f>VLOOKUP($B14,'Коммерческий отдел'!$B$10:$O$58,COLUMN('Коммерческий отдел'!N:N)-1,FALSE)+VLOOKUP($B14,'Технический отдел'!$B$10:$O$58,COLUMN('Технический отдел'!N:N)-1,FALSE)+VLOOKUP($B14,'Управленческий блок'!$B$10:$O$76,COLUMN('Управленческий блок'!N:N)-1,FALSE)</f>
        <v>0</v>
      </c>
      <c r="O14" s="722">
        <f>VLOOKUP($B14,'Коммерческий отдел'!$B$10:$O$58,COLUMN('Коммерческий отдел'!O:O)-1,FALSE)+VLOOKUP($B14,'Технический отдел'!$B$10:$O$58,COLUMN('Технический отдел'!O:O)-1,FALSE)+VLOOKUP($B14,'Управленческий блок'!$B$10:$O$76,COLUMN('Управленческий блок'!O:O)-1,FALSE)</f>
        <v>0</v>
      </c>
      <c r="P14" s="8"/>
    </row>
    <row r="15" spans="1:16" ht="12.75" outlineLevel="1">
      <c r="A15" s="557"/>
      <c r="B15" s="460" t="s">
        <v>300</v>
      </c>
      <c r="C15" s="471" t="str">
        <f>VLOOKUP(B15,Справочники!$B:$F,3,FALSE)</f>
        <v>Расходные материалы для компьютерной и офисной техники</v>
      </c>
      <c r="D15" s="456">
        <f>VLOOKUP($B15,'Коммерческий отдел'!$B$10:$O$58,COLUMN('Коммерческий отдел'!D:D)-1,FALSE)+VLOOKUP($B15,'Технический отдел'!$B$10:$O$58,COLUMN('Технический отдел'!D:D)-1,FALSE)+VLOOKUP($B15,'Управленческий блок'!$B$10:$O$76,COLUMN('Управленческий блок'!D:D)-1,FALSE)</f>
        <v>0</v>
      </c>
      <c r="E15" s="721">
        <f>VLOOKUP($B15,'Коммерческий отдел'!$B$10:$O$58,COLUMN('Коммерческий отдел'!E:E)-1,FALSE)+VLOOKUP($B15,'Технический отдел'!$B$10:$O$58,COLUMN('Технический отдел'!E:E)-1,FALSE)+VLOOKUP($B15,'Управленческий блок'!$B$10:$O$76,COLUMN('Управленческий блок'!E:E)-1,FALSE)</f>
        <v>0</v>
      </c>
      <c r="F15" s="721">
        <f>VLOOKUP($B15,'Коммерческий отдел'!$B$10:$O$58,COLUMN('Коммерческий отдел'!F:F)-1,FALSE)+VLOOKUP($B15,'Технический отдел'!$B$10:$O$58,COLUMN('Технический отдел'!F:F)-1,FALSE)+VLOOKUP($B15,'Управленческий блок'!$B$10:$O$76,COLUMN('Управленческий блок'!F:F)-1,FALSE)</f>
        <v>0</v>
      </c>
      <c r="G15" s="721">
        <f>VLOOKUP($B15,'Коммерческий отдел'!$B$10:$O$58,COLUMN('Коммерческий отдел'!G:G)-1,FALSE)+VLOOKUP($B15,'Технический отдел'!$B$10:$O$58,COLUMN('Технический отдел'!G:G)-1,FALSE)+VLOOKUP($B15,'Управленческий блок'!$B$10:$O$76,COLUMN('Управленческий блок'!G:G)-1,FALSE)</f>
        <v>0</v>
      </c>
      <c r="H15" s="721">
        <f>VLOOKUP($B15,'Коммерческий отдел'!$B$10:$O$58,COLUMN('Коммерческий отдел'!H:H)-1,FALSE)+VLOOKUP($B15,'Технический отдел'!$B$10:$O$58,COLUMN('Технический отдел'!H:H)-1,FALSE)+VLOOKUP($B15,'Управленческий блок'!$B$10:$O$76,COLUMN('Управленческий блок'!H:H)-1,FALSE)</f>
        <v>0</v>
      </c>
      <c r="I15" s="721">
        <f>VLOOKUP($B15,'Коммерческий отдел'!$B$10:$O$58,COLUMN('Коммерческий отдел'!I:I)-1,FALSE)+VLOOKUP($B15,'Технический отдел'!$B$10:$O$58,COLUMN('Технический отдел'!I:I)-1,FALSE)+VLOOKUP($B15,'Управленческий блок'!$B$10:$O$76,COLUMN('Управленческий блок'!I:I)-1,FALSE)</f>
        <v>0</v>
      </c>
      <c r="J15" s="721">
        <f>VLOOKUP($B15,'Коммерческий отдел'!$B$10:$O$58,COLUMN('Коммерческий отдел'!J:J)-1,FALSE)+VLOOKUP($B15,'Технический отдел'!$B$10:$O$58,COLUMN('Технический отдел'!J:J)-1,FALSE)+VLOOKUP($B15,'Управленческий блок'!$B$10:$O$76,COLUMN('Управленческий блок'!J:J)-1,FALSE)</f>
        <v>0</v>
      </c>
      <c r="K15" s="721">
        <f>VLOOKUP($B15,'Коммерческий отдел'!$B$10:$O$58,COLUMN('Коммерческий отдел'!K:K)-1,FALSE)+VLOOKUP($B15,'Технический отдел'!$B$10:$O$58,COLUMN('Технический отдел'!K:K)-1,FALSE)+VLOOKUP($B15,'Управленческий блок'!$B$10:$O$76,COLUMN('Управленческий блок'!K:K)-1,FALSE)</f>
        <v>0</v>
      </c>
      <c r="L15" s="721">
        <f>VLOOKUP($B15,'Коммерческий отдел'!$B$10:$O$58,COLUMN('Коммерческий отдел'!L:L)-1,FALSE)+VLOOKUP($B15,'Технический отдел'!$B$10:$O$58,COLUMN('Технический отдел'!L:L)-1,FALSE)+VLOOKUP($B15,'Управленческий блок'!$B$10:$O$76,COLUMN('Управленческий блок'!L:L)-1,FALSE)</f>
        <v>0</v>
      </c>
      <c r="M15" s="721">
        <f>VLOOKUP($B15,'Коммерческий отдел'!$B$10:$O$58,COLUMN('Коммерческий отдел'!M:M)-1,FALSE)+VLOOKUP($B15,'Технический отдел'!$B$10:$O$58,COLUMN('Технический отдел'!M:M)-1,FALSE)+VLOOKUP($B15,'Управленческий блок'!$B$10:$O$76,COLUMN('Управленческий блок'!M:M)-1,FALSE)</f>
        <v>0</v>
      </c>
      <c r="N15" s="721">
        <f>VLOOKUP($B15,'Коммерческий отдел'!$B$10:$O$58,COLUMN('Коммерческий отдел'!N:N)-1,FALSE)+VLOOKUP($B15,'Технический отдел'!$B$10:$O$58,COLUMN('Технический отдел'!N:N)-1,FALSE)+VLOOKUP($B15,'Управленческий блок'!$B$10:$O$76,COLUMN('Управленческий блок'!N:N)-1,FALSE)</f>
        <v>0</v>
      </c>
      <c r="O15" s="722">
        <f>VLOOKUP($B15,'Коммерческий отдел'!$B$10:$O$58,COLUMN('Коммерческий отдел'!O:O)-1,FALSE)+VLOOKUP($B15,'Технический отдел'!$B$10:$O$58,COLUMN('Технический отдел'!O:O)-1,FALSE)+VLOOKUP($B15,'Управленческий блок'!$B$10:$O$76,COLUMN('Управленческий блок'!O:O)-1,FALSE)</f>
        <v>0</v>
      </c>
      <c r="P15" s="8"/>
    </row>
    <row r="16" spans="1:16" ht="12.75" outlineLevel="1">
      <c r="A16" s="557"/>
      <c r="B16" s="460" t="s">
        <v>301</v>
      </c>
      <c r="C16" s="471" t="str">
        <f>VLOOKUP(B16,Справочники!$B:$F,3,FALSE)</f>
        <v>Запасные части для компьютерной и офисной техники</v>
      </c>
      <c r="D16" s="456">
        <f>VLOOKUP($B16,'Коммерческий отдел'!$B$10:$O$58,COLUMN('Коммерческий отдел'!D:D)-1,FALSE)+VLOOKUP($B16,'Технический отдел'!$B$10:$O$58,COLUMN('Технический отдел'!D:D)-1,FALSE)+VLOOKUP($B16,'Управленческий блок'!$B$10:$O$76,COLUMN('Управленческий блок'!D:D)-1,FALSE)</f>
        <v>0</v>
      </c>
      <c r="E16" s="724">
        <f>VLOOKUP($B16,'Коммерческий отдел'!$B$10:$O$58,COLUMN('Коммерческий отдел'!E:E)-1,FALSE)+VLOOKUP($B16,'Технический отдел'!$B$10:$O$58,COLUMN('Технический отдел'!E:E)-1,FALSE)+VLOOKUP($B16,'Управленческий блок'!$B$10:$O$76,COLUMN('Управленческий блок'!E:E)-1,FALSE)</f>
        <v>0</v>
      </c>
      <c r="F16" s="724">
        <f>VLOOKUP($B16,'Коммерческий отдел'!$B$10:$O$58,COLUMN('Коммерческий отдел'!F:F)-1,FALSE)+VLOOKUP($B16,'Технический отдел'!$B$10:$O$58,COLUMN('Технический отдел'!F:F)-1,FALSE)+VLOOKUP($B16,'Управленческий блок'!$B$10:$O$76,COLUMN('Управленческий блок'!F:F)-1,FALSE)</f>
        <v>0</v>
      </c>
      <c r="G16" s="724">
        <f>VLOOKUP($B16,'Коммерческий отдел'!$B$10:$O$58,COLUMN('Коммерческий отдел'!G:G)-1,FALSE)+VLOOKUP($B16,'Технический отдел'!$B$10:$O$58,COLUMN('Технический отдел'!G:G)-1,FALSE)+VLOOKUP($B16,'Управленческий блок'!$B$10:$O$76,COLUMN('Управленческий блок'!G:G)-1,FALSE)</f>
        <v>0</v>
      </c>
      <c r="H16" s="724">
        <f>VLOOKUP($B16,'Коммерческий отдел'!$B$10:$O$58,COLUMN('Коммерческий отдел'!H:H)-1,FALSE)+VLOOKUP($B16,'Технический отдел'!$B$10:$O$58,COLUMN('Технический отдел'!H:H)-1,FALSE)+VLOOKUP($B16,'Управленческий блок'!$B$10:$O$76,COLUMN('Управленческий блок'!H:H)-1,FALSE)</f>
        <v>0</v>
      </c>
      <c r="I16" s="724">
        <f>VLOOKUP($B16,'Коммерческий отдел'!$B$10:$O$58,COLUMN('Коммерческий отдел'!I:I)-1,FALSE)+VLOOKUP($B16,'Технический отдел'!$B$10:$O$58,COLUMN('Технический отдел'!I:I)-1,FALSE)+VLOOKUP($B16,'Управленческий блок'!$B$10:$O$76,COLUMN('Управленческий блок'!I:I)-1,FALSE)</f>
        <v>0</v>
      </c>
      <c r="J16" s="724">
        <f>VLOOKUP($B16,'Коммерческий отдел'!$B$10:$O$58,COLUMN('Коммерческий отдел'!J:J)-1,FALSE)+VLOOKUP($B16,'Технический отдел'!$B$10:$O$58,COLUMN('Технический отдел'!J:J)-1,FALSE)+VLOOKUP($B16,'Управленческий блок'!$B$10:$O$76,COLUMN('Управленческий блок'!J:J)-1,FALSE)</f>
        <v>0</v>
      </c>
      <c r="K16" s="724">
        <f>VLOOKUP($B16,'Коммерческий отдел'!$B$10:$O$58,COLUMN('Коммерческий отдел'!K:K)-1,FALSE)+VLOOKUP($B16,'Технический отдел'!$B$10:$O$58,COLUMN('Технический отдел'!K:K)-1,FALSE)+VLOOKUP($B16,'Управленческий блок'!$B$10:$O$76,COLUMN('Управленческий блок'!K:K)-1,FALSE)</f>
        <v>0</v>
      </c>
      <c r="L16" s="724">
        <f>VLOOKUP($B16,'Коммерческий отдел'!$B$10:$O$58,COLUMN('Коммерческий отдел'!L:L)-1,FALSE)+VLOOKUP($B16,'Технический отдел'!$B$10:$O$58,COLUMN('Технический отдел'!L:L)-1,FALSE)+VLOOKUP($B16,'Управленческий блок'!$B$10:$O$76,COLUMN('Управленческий блок'!L:L)-1,FALSE)</f>
        <v>0</v>
      </c>
      <c r="M16" s="724">
        <f>VLOOKUP($B16,'Коммерческий отдел'!$B$10:$O$58,COLUMN('Коммерческий отдел'!M:M)-1,FALSE)+VLOOKUP($B16,'Технический отдел'!$B$10:$O$58,COLUMN('Технический отдел'!M:M)-1,FALSE)+VLOOKUP($B16,'Управленческий блок'!$B$10:$O$76,COLUMN('Управленческий блок'!M:M)-1,FALSE)</f>
        <v>0</v>
      </c>
      <c r="N16" s="724">
        <f>VLOOKUP($B16,'Коммерческий отдел'!$B$10:$O$58,COLUMN('Коммерческий отдел'!N:N)-1,FALSE)+VLOOKUP($B16,'Технический отдел'!$B$10:$O$58,COLUMN('Технический отдел'!N:N)-1,FALSE)+VLOOKUP($B16,'Управленческий блок'!$B$10:$O$76,COLUMN('Управленческий блок'!N:N)-1,FALSE)</f>
        <v>0</v>
      </c>
      <c r="O16" s="725">
        <f>VLOOKUP($B16,'Коммерческий отдел'!$B$10:$O$58,COLUMN('Коммерческий отдел'!O:O)-1,FALSE)+VLOOKUP($B16,'Технический отдел'!$B$10:$O$58,COLUMN('Технический отдел'!O:O)-1,FALSE)+VLOOKUP($B16,'Управленческий блок'!$B$10:$O$76,COLUMN('Управленческий блок'!O:O)-1,FALSE)</f>
        <v>0</v>
      </c>
      <c r="P16" s="8"/>
    </row>
    <row r="17" spans="1:16" s="1" customFormat="1" ht="12.75" outlineLevel="1">
      <c r="A17" s="560"/>
      <c r="B17" s="460" t="s">
        <v>302</v>
      </c>
      <c r="C17" s="471" t="str">
        <f>VLOOKUP(B17,Справочники!$B:$F,3,FALSE)</f>
        <v>Хозяйственный инвентарь</v>
      </c>
      <c r="D17" s="456">
        <f>VLOOKUP($B17,'Коммерческий отдел'!$B$10:$O$58,COLUMN('Коммерческий отдел'!D:D)-1,FALSE)+VLOOKUP($B17,'Технический отдел'!$B$10:$O$58,COLUMN('Технический отдел'!D:D)-1,FALSE)+VLOOKUP($B17,'Управленческий блок'!$B$10:$O$76,COLUMN('Управленческий блок'!D:D)-1,FALSE)</f>
        <v>0</v>
      </c>
      <c r="E17" s="724">
        <f>VLOOKUP($B17,'Коммерческий отдел'!$B$10:$O$58,COLUMN('Коммерческий отдел'!E:E)-1,FALSE)+VLOOKUP($B17,'Технический отдел'!$B$10:$O$58,COLUMN('Технический отдел'!E:E)-1,FALSE)+VLOOKUP($B17,'Управленческий блок'!$B$10:$O$76,COLUMN('Управленческий блок'!E:E)-1,FALSE)</f>
        <v>0</v>
      </c>
      <c r="F17" s="724">
        <f>VLOOKUP($B17,'Коммерческий отдел'!$B$10:$O$58,COLUMN('Коммерческий отдел'!F:F)-1,FALSE)+VLOOKUP($B17,'Технический отдел'!$B$10:$O$58,COLUMN('Технический отдел'!F:F)-1,FALSE)+VLOOKUP($B17,'Управленческий блок'!$B$10:$O$76,COLUMN('Управленческий блок'!F:F)-1,FALSE)</f>
        <v>0</v>
      </c>
      <c r="G17" s="724">
        <f>VLOOKUP($B17,'Коммерческий отдел'!$B$10:$O$58,COLUMN('Коммерческий отдел'!G:G)-1,FALSE)+VLOOKUP($B17,'Технический отдел'!$B$10:$O$58,COLUMN('Технический отдел'!G:G)-1,FALSE)+VLOOKUP($B17,'Управленческий блок'!$B$10:$O$76,COLUMN('Управленческий блок'!G:G)-1,FALSE)</f>
        <v>0</v>
      </c>
      <c r="H17" s="724">
        <f>VLOOKUP($B17,'Коммерческий отдел'!$B$10:$O$58,COLUMN('Коммерческий отдел'!H:H)-1,FALSE)+VLOOKUP($B17,'Технический отдел'!$B$10:$O$58,COLUMN('Технический отдел'!H:H)-1,FALSE)+VLOOKUP($B17,'Управленческий блок'!$B$10:$O$76,COLUMN('Управленческий блок'!H:H)-1,FALSE)</f>
        <v>0</v>
      </c>
      <c r="I17" s="724">
        <f>VLOOKUP($B17,'Коммерческий отдел'!$B$10:$O$58,COLUMN('Коммерческий отдел'!I:I)-1,FALSE)+VLOOKUP($B17,'Технический отдел'!$B$10:$O$58,COLUMN('Технический отдел'!I:I)-1,FALSE)+VLOOKUP($B17,'Управленческий блок'!$B$10:$O$76,COLUMN('Управленческий блок'!I:I)-1,FALSE)</f>
        <v>0</v>
      </c>
      <c r="J17" s="724">
        <f>VLOOKUP($B17,'Коммерческий отдел'!$B$10:$O$58,COLUMN('Коммерческий отдел'!J:J)-1,FALSE)+VLOOKUP($B17,'Технический отдел'!$B$10:$O$58,COLUMN('Технический отдел'!J:J)-1,FALSE)+VLOOKUP($B17,'Управленческий блок'!$B$10:$O$76,COLUMN('Управленческий блок'!J:J)-1,FALSE)</f>
        <v>0</v>
      </c>
      <c r="K17" s="724">
        <f>VLOOKUP($B17,'Коммерческий отдел'!$B$10:$O$58,COLUMN('Коммерческий отдел'!K:K)-1,FALSE)+VLOOKUP($B17,'Технический отдел'!$B$10:$O$58,COLUMN('Технический отдел'!K:K)-1,FALSE)+VLOOKUP($B17,'Управленческий блок'!$B$10:$O$76,COLUMN('Управленческий блок'!K:K)-1,FALSE)</f>
        <v>0</v>
      </c>
      <c r="L17" s="724">
        <f>VLOOKUP($B17,'Коммерческий отдел'!$B$10:$O$58,COLUMN('Коммерческий отдел'!L:L)-1,FALSE)+VLOOKUP($B17,'Технический отдел'!$B$10:$O$58,COLUMN('Технический отдел'!L:L)-1,FALSE)+VLOOKUP($B17,'Управленческий блок'!$B$10:$O$76,COLUMN('Управленческий блок'!L:L)-1,FALSE)</f>
        <v>0</v>
      </c>
      <c r="M17" s="724">
        <f>VLOOKUP($B17,'Коммерческий отдел'!$B$10:$O$58,COLUMN('Коммерческий отдел'!M:M)-1,FALSE)+VLOOKUP($B17,'Технический отдел'!$B$10:$O$58,COLUMN('Технический отдел'!M:M)-1,FALSE)+VLOOKUP($B17,'Управленческий блок'!$B$10:$O$76,COLUMN('Управленческий блок'!M:M)-1,FALSE)</f>
        <v>0</v>
      </c>
      <c r="N17" s="724">
        <f>VLOOKUP($B17,'Коммерческий отдел'!$B$10:$O$58,COLUMN('Коммерческий отдел'!N:N)-1,FALSE)+VLOOKUP($B17,'Технический отдел'!$B$10:$O$58,COLUMN('Технический отдел'!N:N)-1,FALSE)+VLOOKUP($B17,'Управленческий блок'!$B$10:$O$76,COLUMN('Управленческий блок'!N:N)-1,FALSE)</f>
        <v>0</v>
      </c>
      <c r="O17" s="725">
        <f>VLOOKUP($B17,'Коммерческий отдел'!$B$10:$O$58,COLUMN('Коммерческий отдел'!O:O)-1,FALSE)+VLOOKUP($B17,'Технический отдел'!$B$10:$O$58,COLUMN('Технический отдел'!O:O)-1,FALSE)+VLOOKUP($B17,'Управленческий блок'!$B$10:$O$76,COLUMN('Управленческий блок'!O:O)-1,FALSE)</f>
        <v>0</v>
      </c>
      <c r="P17" s="45"/>
    </row>
    <row r="18" spans="1:16" ht="12.75" outlineLevel="1">
      <c r="A18" s="557"/>
      <c r="B18" s="460" t="s">
        <v>303</v>
      </c>
      <c r="C18" s="473" t="str">
        <f>VLOOKUP(B18,Справочники!$B:$F,3,FALSE)</f>
        <v>Канцелярские товары</v>
      </c>
      <c r="D18" s="456">
        <f>VLOOKUP($B18,'Коммерческий отдел'!$B$10:$O$58,COLUMN('Коммерческий отдел'!D:D)-1,FALSE)+VLOOKUP($B18,'Технический отдел'!$B$10:$O$58,COLUMN('Технический отдел'!D:D)-1,FALSE)+VLOOKUP($B18,'Управленческий блок'!$B$10:$O$76,COLUMN('Управленческий блок'!D:D)-1,FALSE)</f>
        <v>0</v>
      </c>
      <c r="E18" s="724">
        <f>VLOOKUP($B18,'Коммерческий отдел'!$B$10:$O$58,COLUMN('Коммерческий отдел'!E:E)-1,FALSE)+VLOOKUP($B18,'Технический отдел'!$B$10:$O$58,COLUMN('Технический отдел'!E:E)-1,FALSE)+VLOOKUP($B18,'Управленческий блок'!$B$10:$O$76,COLUMN('Управленческий блок'!E:E)-1,FALSE)</f>
        <v>0</v>
      </c>
      <c r="F18" s="724">
        <f>VLOOKUP($B18,'Коммерческий отдел'!$B$10:$O$58,COLUMN('Коммерческий отдел'!F:F)-1,FALSE)+VLOOKUP($B18,'Технический отдел'!$B$10:$O$58,COLUMN('Технический отдел'!F:F)-1,FALSE)+VLOOKUP($B18,'Управленческий блок'!$B$10:$O$76,COLUMN('Управленческий блок'!F:F)-1,FALSE)</f>
        <v>0</v>
      </c>
      <c r="G18" s="724">
        <f>VLOOKUP($B18,'Коммерческий отдел'!$B$10:$O$58,COLUMN('Коммерческий отдел'!G:G)-1,FALSE)+VLOOKUP($B18,'Технический отдел'!$B$10:$O$58,COLUMN('Технический отдел'!G:G)-1,FALSE)+VLOOKUP($B18,'Управленческий блок'!$B$10:$O$76,COLUMN('Управленческий блок'!G:G)-1,FALSE)</f>
        <v>0</v>
      </c>
      <c r="H18" s="724">
        <f>VLOOKUP($B18,'Коммерческий отдел'!$B$10:$O$58,COLUMN('Коммерческий отдел'!H:H)-1,FALSE)+VLOOKUP($B18,'Технический отдел'!$B$10:$O$58,COLUMN('Технический отдел'!H:H)-1,FALSE)+VLOOKUP($B18,'Управленческий блок'!$B$10:$O$76,COLUMN('Управленческий блок'!H:H)-1,FALSE)</f>
        <v>0</v>
      </c>
      <c r="I18" s="724">
        <f>VLOOKUP($B18,'Коммерческий отдел'!$B$10:$O$58,COLUMN('Коммерческий отдел'!I:I)-1,FALSE)+VLOOKUP($B18,'Технический отдел'!$B$10:$O$58,COLUMN('Технический отдел'!I:I)-1,FALSE)+VLOOKUP($B18,'Управленческий блок'!$B$10:$O$76,COLUMN('Управленческий блок'!I:I)-1,FALSE)</f>
        <v>0</v>
      </c>
      <c r="J18" s="724">
        <f>VLOOKUP($B18,'Коммерческий отдел'!$B$10:$O$58,COLUMN('Коммерческий отдел'!J:J)-1,FALSE)+VLOOKUP($B18,'Технический отдел'!$B$10:$O$58,COLUMN('Технический отдел'!J:J)-1,FALSE)+VLOOKUP($B18,'Управленческий блок'!$B$10:$O$76,COLUMN('Управленческий блок'!J:J)-1,FALSE)</f>
        <v>0</v>
      </c>
      <c r="K18" s="724">
        <f>VLOOKUP($B18,'Коммерческий отдел'!$B$10:$O$58,COLUMN('Коммерческий отдел'!K:K)-1,FALSE)+VLOOKUP($B18,'Технический отдел'!$B$10:$O$58,COLUMN('Технический отдел'!K:K)-1,FALSE)+VLOOKUP($B18,'Управленческий блок'!$B$10:$O$76,COLUMN('Управленческий блок'!K:K)-1,FALSE)</f>
        <v>0</v>
      </c>
      <c r="L18" s="724">
        <f>VLOOKUP($B18,'Коммерческий отдел'!$B$10:$O$58,COLUMN('Коммерческий отдел'!L:L)-1,FALSE)+VLOOKUP($B18,'Технический отдел'!$B$10:$O$58,COLUMN('Технический отдел'!L:L)-1,FALSE)+VLOOKUP($B18,'Управленческий блок'!$B$10:$O$76,COLUMN('Управленческий блок'!L:L)-1,FALSE)</f>
        <v>0</v>
      </c>
      <c r="M18" s="724">
        <f>VLOOKUP($B18,'Коммерческий отдел'!$B$10:$O$58,COLUMN('Коммерческий отдел'!M:M)-1,FALSE)+VLOOKUP($B18,'Технический отдел'!$B$10:$O$58,COLUMN('Технический отдел'!M:M)-1,FALSE)+VLOOKUP($B18,'Управленческий блок'!$B$10:$O$76,COLUMN('Управленческий блок'!M:M)-1,FALSE)</f>
        <v>0</v>
      </c>
      <c r="N18" s="724">
        <f>VLOOKUP($B18,'Коммерческий отдел'!$B$10:$O$58,COLUMN('Коммерческий отдел'!N:N)-1,FALSE)+VLOOKUP($B18,'Технический отдел'!$B$10:$O$58,COLUMN('Технический отдел'!N:N)-1,FALSE)+VLOOKUP($B18,'Управленческий блок'!$B$10:$O$76,COLUMN('Управленческий блок'!N:N)-1,FALSE)</f>
        <v>0</v>
      </c>
      <c r="O18" s="725">
        <f>VLOOKUP($B18,'Коммерческий отдел'!$B$10:$O$58,COLUMN('Коммерческий отдел'!O:O)-1,FALSE)+VLOOKUP($B18,'Технический отдел'!$B$10:$O$58,COLUMN('Технический отдел'!O:O)-1,FALSE)+VLOOKUP($B18,'Управленческий блок'!$B$10:$O$76,COLUMN('Управленческий блок'!O:O)-1,FALSE)</f>
        <v>0</v>
      </c>
      <c r="P18" s="8"/>
    </row>
    <row r="19" spans="1:16" ht="12.75" outlineLevel="1">
      <c r="A19" s="557"/>
      <c r="B19" s="499" t="s">
        <v>304</v>
      </c>
      <c r="C19" s="498" t="str">
        <f>VLOOKUP(B19,Справочники!$B:$F,3,FALSE)</f>
        <v>Продукты питания</v>
      </c>
      <c r="D19" s="456">
        <f>VLOOKUP($B19,'Коммерческий отдел'!$B$10:$O$58,COLUMN('Коммерческий отдел'!D:D)-1,FALSE)+VLOOKUP($B19,'Технический отдел'!$B$10:$O$58,COLUMN('Технический отдел'!D:D)-1,FALSE)+VLOOKUP($B19,'Управленческий блок'!$B$10:$O$76,COLUMN('Управленческий блок'!D:D)-1,FALSE)</f>
        <v>0</v>
      </c>
      <c r="E19" s="721">
        <f>VLOOKUP($B19,'Коммерческий отдел'!$B$10:$O$58,COLUMN('Коммерческий отдел'!E:E)-1,FALSE)+VLOOKUP($B19,'Технический отдел'!$B$10:$O$58,COLUMN('Технический отдел'!E:E)-1,FALSE)+VLOOKUP($B19,'Управленческий блок'!$B$10:$O$76,COLUMN('Управленческий блок'!E:E)-1,FALSE)</f>
        <v>0</v>
      </c>
      <c r="F19" s="721">
        <f>VLOOKUP($B19,'Коммерческий отдел'!$B$10:$O$58,COLUMN('Коммерческий отдел'!F:F)-1,FALSE)+VLOOKUP($B19,'Технический отдел'!$B$10:$O$58,COLUMN('Технический отдел'!F:F)-1,FALSE)+VLOOKUP($B19,'Управленческий блок'!$B$10:$O$76,COLUMN('Управленческий блок'!F:F)-1,FALSE)</f>
        <v>0</v>
      </c>
      <c r="G19" s="721">
        <f>VLOOKUP($B19,'Коммерческий отдел'!$B$10:$O$58,COLUMN('Коммерческий отдел'!G:G)-1,FALSE)+VLOOKUP($B19,'Технический отдел'!$B$10:$O$58,COLUMN('Технический отдел'!G:G)-1,FALSE)+VLOOKUP($B19,'Управленческий блок'!$B$10:$O$76,COLUMN('Управленческий блок'!G:G)-1,FALSE)</f>
        <v>0</v>
      </c>
      <c r="H19" s="721">
        <f>VLOOKUP($B19,'Коммерческий отдел'!$B$10:$O$58,COLUMN('Коммерческий отдел'!H:H)-1,FALSE)+VLOOKUP($B19,'Технический отдел'!$B$10:$O$58,COLUMN('Технический отдел'!H:H)-1,FALSE)+VLOOKUP($B19,'Управленческий блок'!$B$10:$O$76,COLUMN('Управленческий блок'!H:H)-1,FALSE)</f>
        <v>0</v>
      </c>
      <c r="I19" s="721">
        <f>VLOOKUP($B19,'Коммерческий отдел'!$B$10:$O$58,COLUMN('Коммерческий отдел'!I:I)-1,FALSE)+VLOOKUP($B19,'Технический отдел'!$B$10:$O$58,COLUMN('Технический отдел'!I:I)-1,FALSE)+VLOOKUP($B19,'Управленческий блок'!$B$10:$O$76,COLUMN('Управленческий блок'!I:I)-1,FALSE)</f>
        <v>0</v>
      </c>
      <c r="J19" s="721">
        <f>VLOOKUP($B19,'Коммерческий отдел'!$B$10:$O$58,COLUMN('Коммерческий отдел'!J:J)-1,FALSE)+VLOOKUP($B19,'Технический отдел'!$B$10:$O$58,COLUMN('Технический отдел'!J:J)-1,FALSE)+VLOOKUP($B19,'Управленческий блок'!$B$10:$O$76,COLUMN('Управленческий блок'!J:J)-1,FALSE)</f>
        <v>0</v>
      </c>
      <c r="K19" s="721">
        <f>VLOOKUP($B19,'Коммерческий отдел'!$B$10:$O$58,COLUMN('Коммерческий отдел'!K:K)-1,FALSE)+VLOOKUP($B19,'Технический отдел'!$B$10:$O$58,COLUMN('Технический отдел'!K:K)-1,FALSE)+VLOOKUP($B19,'Управленческий блок'!$B$10:$O$76,COLUMN('Управленческий блок'!K:K)-1,FALSE)</f>
        <v>0</v>
      </c>
      <c r="L19" s="721">
        <f>VLOOKUP($B19,'Коммерческий отдел'!$B$10:$O$58,COLUMN('Коммерческий отдел'!L:L)-1,FALSE)+VLOOKUP($B19,'Технический отдел'!$B$10:$O$58,COLUMN('Технический отдел'!L:L)-1,FALSE)+VLOOKUP($B19,'Управленческий блок'!$B$10:$O$76,COLUMN('Управленческий блок'!L:L)-1,FALSE)</f>
        <v>0</v>
      </c>
      <c r="M19" s="721">
        <f>VLOOKUP($B19,'Коммерческий отдел'!$B$10:$O$58,COLUMN('Коммерческий отдел'!M:M)-1,FALSE)+VLOOKUP($B19,'Технический отдел'!$B$10:$O$58,COLUMN('Технический отдел'!M:M)-1,FALSE)+VLOOKUP($B19,'Управленческий блок'!$B$10:$O$76,COLUMN('Управленческий блок'!M:M)-1,FALSE)</f>
        <v>0</v>
      </c>
      <c r="N19" s="721">
        <f>VLOOKUP($B19,'Коммерческий отдел'!$B$10:$O$58,COLUMN('Коммерческий отдел'!N:N)-1,FALSE)+VLOOKUP($B19,'Технический отдел'!$B$10:$O$58,COLUMN('Технический отдел'!N:N)-1,FALSE)+VLOOKUP($B19,'Управленческий блок'!$B$10:$O$76,COLUMN('Управленческий блок'!N:N)-1,FALSE)</f>
        <v>0</v>
      </c>
      <c r="O19" s="722">
        <f>VLOOKUP($B19,'Коммерческий отдел'!$B$10:$O$58,COLUMN('Коммерческий отдел'!O:O)-1,FALSE)+VLOOKUP($B19,'Технический отдел'!$B$10:$O$58,COLUMN('Технический отдел'!O:O)-1,FALSE)+VLOOKUP($B19,'Управленческий блок'!$B$10:$O$76,COLUMN('Управленческий блок'!O:O)-1,FALSE)</f>
        <v>0</v>
      </c>
      <c r="P19" s="8"/>
    </row>
    <row r="20" spans="1:16" ht="12.75" outlineLevel="1">
      <c r="A20" s="557"/>
      <c r="B20" s="460" t="s">
        <v>306</v>
      </c>
      <c r="C20" s="473" t="str">
        <f>VLOOKUP(B20,Справочники!$B:$F,3,FALSE)</f>
        <v>Вода</v>
      </c>
      <c r="D20" s="456">
        <f>VLOOKUP($B20,'Коммерческий отдел'!$B$10:$O$58,COLUMN('Коммерческий отдел'!D:D)-1,FALSE)+VLOOKUP($B20,'Технический отдел'!$B$10:$O$58,COLUMN('Технический отдел'!D:D)-1,FALSE)+VLOOKUP($B20,'Управленческий блок'!$B$10:$O$76,COLUMN('Управленческий блок'!D:D)-1,FALSE)</f>
        <v>0</v>
      </c>
      <c r="E20" s="724">
        <f>VLOOKUP($B20,'Коммерческий отдел'!$B$10:$O$58,COLUMN('Коммерческий отдел'!E:E)-1,FALSE)+VLOOKUP($B20,'Технический отдел'!$B$10:$O$58,COLUMN('Технический отдел'!E:E)-1,FALSE)+VLOOKUP($B20,'Управленческий блок'!$B$10:$O$76,COLUMN('Управленческий блок'!E:E)-1,FALSE)</f>
        <v>0</v>
      </c>
      <c r="F20" s="724">
        <f>VLOOKUP($B20,'Коммерческий отдел'!$B$10:$O$58,COLUMN('Коммерческий отдел'!F:F)-1,FALSE)+VLOOKUP($B20,'Технический отдел'!$B$10:$O$58,COLUMN('Технический отдел'!F:F)-1,FALSE)+VLOOKUP($B20,'Управленческий блок'!$B$10:$O$76,COLUMN('Управленческий блок'!F:F)-1,FALSE)</f>
        <v>0</v>
      </c>
      <c r="G20" s="724">
        <f>VLOOKUP($B20,'Коммерческий отдел'!$B$10:$O$58,COLUMN('Коммерческий отдел'!G:G)-1,FALSE)+VLOOKUP($B20,'Технический отдел'!$B$10:$O$58,COLUMN('Технический отдел'!G:G)-1,FALSE)+VLOOKUP($B20,'Управленческий блок'!$B$10:$O$76,COLUMN('Управленческий блок'!G:G)-1,FALSE)</f>
        <v>0</v>
      </c>
      <c r="H20" s="724">
        <f>VLOOKUP($B20,'Коммерческий отдел'!$B$10:$O$58,COLUMN('Коммерческий отдел'!H:H)-1,FALSE)+VLOOKUP($B20,'Технический отдел'!$B$10:$O$58,COLUMN('Технический отдел'!H:H)-1,FALSE)+VLOOKUP($B20,'Управленческий блок'!$B$10:$O$76,COLUMN('Управленческий блок'!H:H)-1,FALSE)</f>
        <v>0</v>
      </c>
      <c r="I20" s="724">
        <f>VLOOKUP($B20,'Коммерческий отдел'!$B$10:$O$58,COLUMN('Коммерческий отдел'!I:I)-1,FALSE)+VLOOKUP($B20,'Технический отдел'!$B$10:$O$58,COLUMN('Технический отдел'!I:I)-1,FALSE)+VLOOKUP($B20,'Управленческий блок'!$B$10:$O$76,COLUMN('Управленческий блок'!I:I)-1,FALSE)</f>
        <v>0</v>
      </c>
      <c r="J20" s="724">
        <f>VLOOKUP($B20,'Коммерческий отдел'!$B$10:$O$58,COLUMN('Коммерческий отдел'!J:J)-1,FALSE)+VLOOKUP($B20,'Технический отдел'!$B$10:$O$58,COLUMN('Технический отдел'!J:J)-1,FALSE)+VLOOKUP($B20,'Управленческий блок'!$B$10:$O$76,COLUMN('Управленческий блок'!J:J)-1,FALSE)</f>
        <v>0</v>
      </c>
      <c r="K20" s="724">
        <f>VLOOKUP($B20,'Коммерческий отдел'!$B$10:$O$58,COLUMN('Коммерческий отдел'!K:K)-1,FALSE)+VLOOKUP($B20,'Технический отдел'!$B$10:$O$58,COLUMN('Технический отдел'!K:K)-1,FALSE)+VLOOKUP($B20,'Управленческий блок'!$B$10:$O$76,COLUMN('Управленческий блок'!K:K)-1,FALSE)</f>
        <v>0</v>
      </c>
      <c r="L20" s="724">
        <f>VLOOKUP($B20,'Коммерческий отдел'!$B$10:$O$58,COLUMN('Коммерческий отдел'!L:L)-1,FALSE)+VLOOKUP($B20,'Технический отдел'!$B$10:$O$58,COLUMN('Технический отдел'!L:L)-1,FALSE)+VLOOKUP($B20,'Управленческий блок'!$B$10:$O$76,COLUMN('Управленческий блок'!L:L)-1,FALSE)</f>
        <v>0</v>
      </c>
      <c r="M20" s="724">
        <f>VLOOKUP($B20,'Коммерческий отдел'!$B$10:$O$58,COLUMN('Коммерческий отдел'!M:M)-1,FALSE)+VLOOKUP($B20,'Технический отдел'!$B$10:$O$58,COLUMN('Технический отдел'!M:M)-1,FALSE)+VLOOKUP($B20,'Управленческий блок'!$B$10:$O$76,COLUMN('Управленческий блок'!M:M)-1,FALSE)</f>
        <v>0</v>
      </c>
      <c r="N20" s="724">
        <f>VLOOKUP($B20,'Коммерческий отдел'!$B$10:$O$58,COLUMN('Коммерческий отдел'!N:N)-1,FALSE)+VLOOKUP($B20,'Технический отдел'!$B$10:$O$58,COLUMN('Технический отдел'!N:N)-1,FALSE)+VLOOKUP($B20,'Управленческий блок'!$B$10:$O$76,COLUMN('Управленческий блок'!N:N)-1,FALSE)</f>
        <v>0</v>
      </c>
      <c r="O20" s="725">
        <f>VLOOKUP($B20,'Коммерческий отдел'!$B$10:$O$58,COLUMN('Коммерческий отдел'!O:O)-1,FALSE)+VLOOKUP($B20,'Технический отдел'!$B$10:$O$58,COLUMN('Технический отдел'!O:O)-1,FALSE)+VLOOKUP($B20,'Управленческий блок'!$B$10:$O$76,COLUMN('Управленческий блок'!O:O)-1,FALSE)</f>
        <v>0</v>
      </c>
      <c r="P20" s="8"/>
    </row>
    <row r="21" spans="1:16" ht="12.75" outlineLevel="1">
      <c r="A21" s="557"/>
      <c r="B21" s="460" t="s">
        <v>307</v>
      </c>
      <c r="C21" s="473" t="str">
        <f>VLOOKUP(B21,Справочники!$B:$F,3,FALSE)</f>
        <v>Материалы для службы охраны</v>
      </c>
      <c r="D21" s="456">
        <f>VLOOKUP($B21,'Коммерческий отдел'!$B$10:$O$58,COLUMN('Коммерческий отдел'!D:D)-1,FALSE)+VLOOKUP($B21,'Технический отдел'!$B$10:$O$58,COLUMN('Технический отдел'!D:D)-1,FALSE)+VLOOKUP($B21,'Управленческий блок'!$B$10:$O$76,COLUMN('Управленческий блок'!D:D)-1,FALSE)</f>
        <v>0</v>
      </c>
      <c r="E21" s="724">
        <f>VLOOKUP($B21,'Коммерческий отдел'!$B$10:$O$58,COLUMN('Коммерческий отдел'!E:E)-1,FALSE)+VLOOKUP($B21,'Технический отдел'!$B$10:$O$58,COLUMN('Технический отдел'!E:E)-1,FALSE)+VLOOKUP($B21,'Управленческий блок'!$B$10:$O$76,COLUMN('Управленческий блок'!E:E)-1,FALSE)</f>
        <v>0</v>
      </c>
      <c r="F21" s="724">
        <f>VLOOKUP($B21,'Коммерческий отдел'!$B$10:$O$58,COLUMN('Коммерческий отдел'!F:F)-1,FALSE)+VLOOKUP($B21,'Технический отдел'!$B$10:$O$58,COLUMN('Технический отдел'!F:F)-1,FALSE)+VLOOKUP($B21,'Управленческий блок'!$B$10:$O$76,COLUMN('Управленческий блок'!F:F)-1,FALSE)</f>
        <v>0</v>
      </c>
      <c r="G21" s="724">
        <f>VLOOKUP($B21,'Коммерческий отдел'!$B$10:$O$58,COLUMN('Коммерческий отдел'!G:G)-1,FALSE)+VLOOKUP($B21,'Технический отдел'!$B$10:$O$58,COLUMN('Технический отдел'!G:G)-1,FALSE)+VLOOKUP($B21,'Управленческий блок'!$B$10:$O$76,COLUMN('Управленческий блок'!G:G)-1,FALSE)</f>
        <v>0</v>
      </c>
      <c r="H21" s="724">
        <f>VLOOKUP($B21,'Коммерческий отдел'!$B$10:$O$58,COLUMN('Коммерческий отдел'!H:H)-1,FALSE)+VLOOKUP($B21,'Технический отдел'!$B$10:$O$58,COLUMN('Технический отдел'!H:H)-1,FALSE)+VLOOKUP($B21,'Управленческий блок'!$B$10:$O$76,COLUMN('Управленческий блок'!H:H)-1,FALSE)</f>
        <v>0</v>
      </c>
      <c r="I21" s="724">
        <f>VLOOKUP($B21,'Коммерческий отдел'!$B$10:$O$58,COLUMN('Коммерческий отдел'!I:I)-1,FALSE)+VLOOKUP($B21,'Технический отдел'!$B$10:$O$58,COLUMN('Технический отдел'!I:I)-1,FALSE)+VLOOKUP($B21,'Управленческий блок'!$B$10:$O$76,COLUMN('Управленческий блок'!I:I)-1,FALSE)</f>
        <v>0</v>
      </c>
      <c r="J21" s="724">
        <f>VLOOKUP($B21,'Коммерческий отдел'!$B$10:$O$58,COLUMN('Коммерческий отдел'!J:J)-1,FALSE)+VLOOKUP($B21,'Технический отдел'!$B$10:$O$58,COLUMN('Технический отдел'!J:J)-1,FALSE)+VLOOKUP($B21,'Управленческий блок'!$B$10:$O$76,COLUMN('Управленческий блок'!J:J)-1,FALSE)</f>
        <v>0</v>
      </c>
      <c r="K21" s="724">
        <f>VLOOKUP($B21,'Коммерческий отдел'!$B$10:$O$58,COLUMN('Коммерческий отдел'!K:K)-1,FALSE)+VLOOKUP($B21,'Технический отдел'!$B$10:$O$58,COLUMN('Технический отдел'!K:K)-1,FALSE)+VLOOKUP($B21,'Управленческий блок'!$B$10:$O$76,COLUMN('Управленческий блок'!K:K)-1,FALSE)</f>
        <v>0</v>
      </c>
      <c r="L21" s="724">
        <f>VLOOKUP($B21,'Коммерческий отдел'!$B$10:$O$58,COLUMN('Коммерческий отдел'!L:L)-1,FALSE)+VLOOKUP($B21,'Технический отдел'!$B$10:$O$58,COLUMN('Технический отдел'!L:L)-1,FALSE)+VLOOKUP($B21,'Управленческий блок'!$B$10:$O$76,COLUMN('Управленческий блок'!L:L)-1,FALSE)</f>
        <v>0</v>
      </c>
      <c r="M21" s="724">
        <f>VLOOKUP($B21,'Коммерческий отдел'!$B$10:$O$58,COLUMN('Коммерческий отдел'!M:M)-1,FALSE)+VLOOKUP($B21,'Технический отдел'!$B$10:$O$58,COLUMN('Технический отдел'!M:M)-1,FALSE)+VLOOKUP($B21,'Управленческий блок'!$B$10:$O$76,COLUMN('Управленческий блок'!M:M)-1,FALSE)</f>
        <v>0</v>
      </c>
      <c r="N21" s="724">
        <f>VLOOKUP($B21,'Коммерческий отдел'!$B$10:$O$58,COLUMN('Коммерческий отдел'!N:N)-1,FALSE)+VLOOKUP($B21,'Технический отдел'!$B$10:$O$58,COLUMN('Технический отдел'!N:N)-1,FALSE)+VLOOKUP($B21,'Управленческий блок'!$B$10:$O$76,COLUMN('Управленческий блок'!N:N)-1,FALSE)</f>
        <v>0</v>
      </c>
      <c r="O21" s="725">
        <f>VLOOKUP($B21,'Коммерческий отдел'!$B$10:$O$58,COLUMN('Коммерческий отдел'!O:O)-1,FALSE)+VLOOKUP($B21,'Технический отдел'!$B$10:$O$58,COLUMN('Технический отдел'!O:O)-1,FALSE)+VLOOKUP($B21,'Управленческий блок'!$B$10:$O$76,COLUMN('Управленческий блок'!O:O)-1,FALSE)</f>
        <v>0</v>
      </c>
      <c r="P21" s="8"/>
    </row>
    <row r="22" spans="1:16" ht="12.75" outlineLevel="1">
      <c r="A22" s="557"/>
      <c r="B22" s="460" t="s">
        <v>8</v>
      </c>
      <c r="C22" s="473" t="str">
        <f>VLOOKUP(B22,Справочники!$B:$F,3,FALSE)</f>
        <v>Электроэнергия</v>
      </c>
      <c r="D22" s="456">
        <f>VLOOKUP($B22,'Коммерческий отдел'!$B$10:$O$58,COLUMN('Коммерческий отдел'!D:D)-1,FALSE)+VLOOKUP($B22,'Технический отдел'!$B$10:$O$58,COLUMN('Технический отдел'!D:D)-1,FALSE)+VLOOKUP($B22,'Управленческий блок'!$B$10:$O$76,COLUMN('Управленческий блок'!D:D)-1,FALSE)</f>
        <v>0</v>
      </c>
      <c r="E22" s="724">
        <f>VLOOKUP($B22,'Коммерческий отдел'!$B$10:$O$58,COLUMN('Коммерческий отдел'!E:E)-1,FALSE)+VLOOKUP($B22,'Технический отдел'!$B$10:$O$58,COLUMN('Технический отдел'!E:E)-1,FALSE)+VLOOKUP($B22,'Управленческий блок'!$B$10:$O$76,COLUMN('Управленческий блок'!E:E)-1,FALSE)</f>
        <v>0</v>
      </c>
      <c r="F22" s="724">
        <f>VLOOKUP($B22,'Коммерческий отдел'!$B$10:$O$58,COLUMN('Коммерческий отдел'!F:F)-1,FALSE)+VLOOKUP($B22,'Технический отдел'!$B$10:$O$58,COLUMN('Технический отдел'!F:F)-1,FALSE)+VLOOKUP($B22,'Управленческий блок'!$B$10:$O$76,COLUMN('Управленческий блок'!F:F)-1,FALSE)</f>
        <v>0</v>
      </c>
      <c r="G22" s="724">
        <f>VLOOKUP($B22,'Коммерческий отдел'!$B$10:$O$58,COLUMN('Коммерческий отдел'!G:G)-1,FALSE)+VLOOKUP($B22,'Технический отдел'!$B$10:$O$58,COLUMN('Технический отдел'!G:G)-1,FALSE)+VLOOKUP($B22,'Управленческий блок'!$B$10:$O$76,COLUMN('Управленческий блок'!G:G)-1,FALSE)</f>
        <v>0</v>
      </c>
      <c r="H22" s="724">
        <f>VLOOKUP($B22,'Коммерческий отдел'!$B$10:$O$58,COLUMN('Коммерческий отдел'!H:H)-1,FALSE)+VLOOKUP($B22,'Технический отдел'!$B$10:$O$58,COLUMN('Технический отдел'!H:H)-1,FALSE)+VLOOKUP($B22,'Управленческий блок'!$B$10:$O$76,COLUMN('Управленческий блок'!H:H)-1,FALSE)</f>
        <v>0</v>
      </c>
      <c r="I22" s="724">
        <f>VLOOKUP($B22,'Коммерческий отдел'!$B$10:$O$58,COLUMN('Коммерческий отдел'!I:I)-1,FALSE)+VLOOKUP($B22,'Технический отдел'!$B$10:$O$58,COLUMN('Технический отдел'!I:I)-1,FALSE)+VLOOKUP($B22,'Управленческий блок'!$B$10:$O$76,COLUMN('Управленческий блок'!I:I)-1,FALSE)</f>
        <v>0</v>
      </c>
      <c r="J22" s="724">
        <f>VLOOKUP($B22,'Коммерческий отдел'!$B$10:$O$58,COLUMN('Коммерческий отдел'!J:J)-1,FALSE)+VLOOKUP($B22,'Технический отдел'!$B$10:$O$58,COLUMN('Технический отдел'!J:J)-1,FALSE)+VLOOKUP($B22,'Управленческий блок'!$B$10:$O$76,COLUMN('Управленческий блок'!J:J)-1,FALSE)</f>
        <v>0</v>
      </c>
      <c r="K22" s="724">
        <f>VLOOKUP($B22,'Коммерческий отдел'!$B$10:$O$58,COLUMN('Коммерческий отдел'!K:K)-1,FALSE)+VLOOKUP($B22,'Технический отдел'!$B$10:$O$58,COLUMN('Технический отдел'!K:K)-1,FALSE)+VLOOKUP($B22,'Управленческий блок'!$B$10:$O$76,COLUMN('Управленческий блок'!K:K)-1,FALSE)</f>
        <v>0</v>
      </c>
      <c r="L22" s="724">
        <f>VLOOKUP($B22,'Коммерческий отдел'!$B$10:$O$58,COLUMN('Коммерческий отдел'!L:L)-1,FALSE)+VLOOKUP($B22,'Технический отдел'!$B$10:$O$58,COLUMN('Технический отдел'!L:L)-1,FALSE)+VLOOKUP($B22,'Управленческий блок'!$B$10:$O$76,COLUMN('Управленческий блок'!L:L)-1,FALSE)</f>
        <v>0</v>
      </c>
      <c r="M22" s="724">
        <f>VLOOKUP($B22,'Коммерческий отдел'!$B$10:$O$58,COLUMN('Коммерческий отдел'!M:M)-1,FALSE)+VLOOKUP($B22,'Технический отдел'!$B$10:$O$58,COLUMN('Технический отдел'!M:M)-1,FALSE)+VLOOKUP($B22,'Управленческий блок'!$B$10:$O$76,COLUMN('Управленческий блок'!M:M)-1,FALSE)</f>
        <v>0</v>
      </c>
      <c r="N22" s="724">
        <f>VLOOKUP($B22,'Коммерческий отдел'!$B$10:$O$58,COLUMN('Коммерческий отдел'!N:N)-1,FALSE)+VLOOKUP($B22,'Технический отдел'!$B$10:$O$58,COLUMN('Технический отдел'!N:N)-1,FALSE)+VLOOKUP($B22,'Управленческий блок'!$B$10:$O$76,COLUMN('Управленческий блок'!N:N)-1,FALSE)</f>
        <v>0</v>
      </c>
      <c r="O22" s="725">
        <f>VLOOKUP($B22,'Коммерческий отдел'!$B$10:$O$58,COLUMN('Коммерческий отдел'!O:O)-1,FALSE)+VLOOKUP($B22,'Технический отдел'!$B$10:$O$58,COLUMN('Технический отдел'!O:O)-1,FALSE)+VLOOKUP($B22,'Управленческий блок'!$B$10:$O$76,COLUMN('Управленческий блок'!O:O)-1,FALSE)</f>
        <v>0</v>
      </c>
      <c r="P22" s="8"/>
    </row>
    <row r="23" spans="1:16" ht="12.75" outlineLevel="1">
      <c r="A23" s="557"/>
      <c r="B23" s="460" t="s">
        <v>76</v>
      </c>
      <c r="C23" s="473" t="str">
        <f>VLOOKUP(B23,Справочники!$B:$F,3,FALSE)</f>
        <v>Прочие материалы</v>
      </c>
      <c r="D23" s="456">
        <f>VLOOKUP($B23,'Коммерческий отдел'!$B$10:$O$58,COLUMN('Коммерческий отдел'!D:D)-1,FALSE)+VLOOKUP($B23,'Технический отдел'!$B$10:$O$58,COLUMN('Технический отдел'!D:D)-1,FALSE)+VLOOKUP($B23,'Управленческий блок'!$B$10:$O$76,COLUMN('Управленческий блок'!D:D)-1,FALSE)</f>
        <v>1100</v>
      </c>
      <c r="E23" s="724">
        <f>VLOOKUP($B23,'Коммерческий отдел'!$B$10:$O$58,COLUMN('Коммерческий отдел'!E:E)-1,FALSE)+VLOOKUP($B23,'Технический отдел'!$B$10:$O$58,COLUMN('Технический отдел'!E:E)-1,FALSE)+VLOOKUP($B23,'Управленческий блок'!$B$10:$O$76,COLUMN('Управленческий блок'!E:E)-1,FALSE)</f>
        <v>1100</v>
      </c>
      <c r="F23" s="724">
        <f>VLOOKUP($B23,'Коммерческий отдел'!$B$10:$O$58,COLUMN('Коммерческий отдел'!F:F)-1,FALSE)+VLOOKUP($B23,'Технический отдел'!$B$10:$O$58,COLUMN('Технический отдел'!F:F)-1,FALSE)+VLOOKUP($B23,'Управленческий блок'!$B$10:$O$76,COLUMN('Управленческий блок'!F:F)-1,FALSE)</f>
        <v>1100</v>
      </c>
      <c r="G23" s="724">
        <f>VLOOKUP($B23,'Коммерческий отдел'!$B$10:$O$58,COLUMN('Коммерческий отдел'!G:G)-1,FALSE)+VLOOKUP($B23,'Технический отдел'!$B$10:$O$58,COLUMN('Технический отдел'!G:G)-1,FALSE)+VLOOKUP($B23,'Управленческий блок'!$B$10:$O$76,COLUMN('Управленческий блок'!G:G)-1,FALSE)</f>
        <v>1100</v>
      </c>
      <c r="H23" s="724">
        <f>VLOOKUP($B23,'Коммерческий отдел'!$B$10:$O$58,COLUMN('Коммерческий отдел'!H:H)-1,FALSE)+VLOOKUP($B23,'Технический отдел'!$B$10:$O$58,COLUMN('Технический отдел'!H:H)-1,FALSE)+VLOOKUP($B23,'Управленческий блок'!$B$10:$O$76,COLUMN('Управленческий блок'!H:H)-1,FALSE)</f>
        <v>5000</v>
      </c>
      <c r="I23" s="724">
        <f>VLOOKUP($B23,'Коммерческий отдел'!$B$10:$O$58,COLUMN('Коммерческий отдел'!I:I)-1,FALSE)+VLOOKUP($B23,'Технический отдел'!$B$10:$O$58,COLUMN('Технический отдел'!I:I)-1,FALSE)+VLOOKUP($B23,'Управленческий блок'!$B$10:$O$76,COLUMN('Управленческий блок'!I:I)-1,FALSE)</f>
        <v>5500</v>
      </c>
      <c r="J23" s="724">
        <f>VLOOKUP($B23,'Коммерческий отдел'!$B$10:$O$58,COLUMN('Коммерческий отдел'!J:J)-1,FALSE)+VLOOKUP($B23,'Технический отдел'!$B$10:$O$58,COLUMN('Технический отдел'!J:J)-1,FALSE)+VLOOKUP($B23,'Управленческий блок'!$B$10:$O$76,COLUMN('Управленческий блок'!J:J)-1,FALSE)</f>
        <v>6000</v>
      </c>
      <c r="K23" s="724">
        <f>VLOOKUP($B23,'Коммерческий отдел'!$B$10:$O$58,COLUMN('Коммерческий отдел'!K:K)-1,FALSE)+VLOOKUP($B23,'Технический отдел'!$B$10:$O$58,COLUMN('Технический отдел'!K:K)-1,FALSE)+VLOOKUP($B23,'Управленческий блок'!$B$10:$O$76,COLUMN('Управленческий блок'!K:K)-1,FALSE)</f>
        <v>6500</v>
      </c>
      <c r="L23" s="724">
        <f>VLOOKUP($B23,'Коммерческий отдел'!$B$10:$O$58,COLUMN('Коммерческий отдел'!L:L)-1,FALSE)+VLOOKUP($B23,'Технический отдел'!$B$10:$O$58,COLUMN('Технический отдел'!L:L)-1,FALSE)+VLOOKUP($B23,'Управленческий блок'!$B$10:$O$76,COLUMN('Управленческий блок'!L:L)-1,FALSE)</f>
        <v>0</v>
      </c>
      <c r="M23" s="724">
        <f>VLOOKUP($B23,'Коммерческий отдел'!$B$10:$O$58,COLUMN('Коммерческий отдел'!M:M)-1,FALSE)+VLOOKUP($B23,'Технический отдел'!$B$10:$O$58,COLUMN('Технический отдел'!M:M)-1,FALSE)+VLOOKUP($B23,'Управленческий блок'!$B$10:$O$76,COLUMN('Управленческий блок'!M:M)-1,FALSE)</f>
        <v>0</v>
      </c>
      <c r="N23" s="724">
        <f>VLOOKUP($B23,'Коммерческий отдел'!$B$10:$O$58,COLUMN('Коммерческий отдел'!N:N)-1,FALSE)+VLOOKUP($B23,'Технический отдел'!$B$10:$O$58,COLUMN('Технический отдел'!N:N)-1,FALSE)+VLOOKUP($B23,'Управленческий блок'!$B$10:$O$76,COLUMN('Управленческий блок'!N:N)-1,FALSE)</f>
        <v>0</v>
      </c>
      <c r="O23" s="725">
        <f>VLOOKUP($B23,'Коммерческий отдел'!$B$10:$O$58,COLUMN('Коммерческий отдел'!O:O)-1,FALSE)+VLOOKUP($B23,'Технический отдел'!$B$10:$O$58,COLUMN('Технический отдел'!O:O)-1,FALSE)+VLOOKUP($B23,'Управленческий блок'!$B$10:$O$76,COLUMN('Управленческий блок'!O:O)-1,FALSE)</f>
        <v>0</v>
      </c>
      <c r="P23" s="8"/>
    </row>
    <row r="24" spans="1:16" s="1" customFormat="1" ht="12.75">
      <c r="A24" s="674"/>
      <c r="B24" s="675" t="s">
        <v>308</v>
      </c>
      <c r="C24" s="462" t="str">
        <f>VLOOKUP(B24,Справочники!$B:$F,3,FALSE)</f>
        <v>Расходы на оплату труда</v>
      </c>
      <c r="D24" s="733">
        <f>SUM(D25:D28)</f>
        <v>105238.5</v>
      </c>
      <c r="E24" s="470">
        <f aca="true" t="shared" si="3" ref="E24:O24">SUM(E25:E28)</f>
        <v>107023.5</v>
      </c>
      <c r="F24" s="470">
        <f t="shared" si="3"/>
        <v>107912.5</v>
      </c>
      <c r="G24" s="470">
        <f t="shared" si="3"/>
        <v>141669</v>
      </c>
      <c r="H24" s="470">
        <f t="shared" si="3"/>
        <v>648711.0875706215</v>
      </c>
      <c r="I24" s="470">
        <f t="shared" si="3"/>
        <v>768306.77259887</v>
      </c>
      <c r="J24" s="470">
        <f t="shared" si="3"/>
        <v>906558.4668079097</v>
      </c>
      <c r="K24" s="470">
        <f t="shared" si="3"/>
        <v>799026.1778954802</v>
      </c>
      <c r="L24" s="470">
        <f t="shared" si="3"/>
        <v>0</v>
      </c>
      <c r="M24" s="470">
        <f t="shared" si="3"/>
        <v>0</v>
      </c>
      <c r="N24" s="470">
        <f t="shared" si="3"/>
        <v>0</v>
      </c>
      <c r="O24" s="734">
        <f t="shared" si="3"/>
        <v>0</v>
      </c>
      <c r="P24" s="45"/>
    </row>
    <row r="25" spans="1:16" ht="12.75" outlineLevel="1">
      <c r="A25" s="557"/>
      <c r="B25" s="460" t="s">
        <v>309</v>
      </c>
      <c r="C25" s="473" t="str">
        <f>VLOOKUP(B25,Справочники!$B:$F,3,FALSE)</f>
        <v>Окладная часть</v>
      </c>
      <c r="D25" s="456">
        <f>VLOOKUP($B25,'Коммерческий отдел'!$B$10:$O$58,COLUMN('Коммерческий отдел'!D:D)-1,FALSE)+VLOOKUP($B25,'Технический отдел'!$B$10:$O$58,COLUMN('Технический отдел'!D:D)-1,FALSE)+VLOOKUP($B25,'Управленческий блок'!$B$10:$O$76,COLUMN('Управленческий блок'!D:D)-1,FALSE)</f>
        <v>100020</v>
      </c>
      <c r="E25" s="724">
        <f>VLOOKUP($B25,'Коммерческий отдел'!$B$10:$O$58,COLUMN('Коммерческий отдел'!E:E)-1,FALSE)+VLOOKUP($B25,'Технический отдел'!$B$10:$O$58,COLUMN('Технический отдел'!E:E)-1,FALSE)+VLOOKUP($B25,'Управленческий блок'!$B$10:$O$76,COLUMN('Управленческий блок'!E:E)-1,FALSE)</f>
        <v>100020</v>
      </c>
      <c r="F25" s="724">
        <f>VLOOKUP($B25,'Коммерческий отдел'!$B$10:$O$58,COLUMN('Коммерческий отдел'!F:F)-1,FALSE)+VLOOKUP($B25,'Технический отдел'!$B$10:$O$58,COLUMN('Технический отдел'!F:F)-1,FALSE)+VLOOKUP($B25,'Управленческий блок'!$B$10:$O$76,COLUMN('Управленческий блок'!F:F)-1,FALSE)</f>
        <v>100020</v>
      </c>
      <c r="G25" s="724">
        <f>VLOOKUP($B25,'Коммерческий отдел'!$B$10:$O$58,COLUMN('Коммерческий отдел'!G:G)-1,FALSE)+VLOOKUP($B25,'Технический отдел'!$B$10:$O$58,COLUMN('Технический отдел'!G:G)-1,FALSE)+VLOOKUP($B25,'Управленческий блок'!$B$10:$O$76,COLUMN('Управленческий блок'!G:G)-1,FALSE)</f>
        <v>100020</v>
      </c>
      <c r="H25" s="724">
        <f>VLOOKUP($B25,'Коммерческий отдел'!$B$10:$O$58,COLUMN('Коммерческий отдел'!H:H)-1,FALSE)+VLOOKUP($B25,'Технический отдел'!$B$10:$O$58,COLUMN('Технический отдел'!H:H)-1,FALSE)+VLOOKUP($B25,'Управленческий блок'!$B$10:$O$76,COLUMN('Управленческий блок'!H:H)-1,FALSE)</f>
        <v>551350</v>
      </c>
      <c r="I25" s="724">
        <f>VLOOKUP($B25,'Коммерческий отдел'!$B$10:$O$58,COLUMN('Коммерческий отдел'!I:I)-1,FALSE)+VLOOKUP($B25,'Технический отдел'!$B$10:$O$58,COLUMN('Технический отдел'!I:I)-1,FALSE)+VLOOKUP($B25,'Управленческий блок'!$B$10:$O$76,COLUMN('Управленческий блок'!I:I)-1,FALSE)</f>
        <v>606485</v>
      </c>
      <c r="J25" s="724">
        <f>VLOOKUP($B25,'Коммерческий отдел'!$B$10:$O$58,COLUMN('Коммерческий отдел'!J:J)-1,FALSE)+VLOOKUP($B25,'Технический отдел'!$B$10:$O$58,COLUMN('Технический отдел'!J:J)-1,FALSE)+VLOOKUP($B25,'Управленческий блок'!$B$10:$O$76,COLUMN('Управленческий блок'!J:J)-1,FALSE)</f>
        <v>667133.5</v>
      </c>
      <c r="K25" s="724">
        <f>VLOOKUP($B25,'Коммерческий отдел'!$B$10:$O$58,COLUMN('Коммерческий отдел'!K:K)-1,FALSE)+VLOOKUP($B25,'Технический отдел'!$B$10:$O$58,COLUMN('Технический отдел'!K:K)-1,FALSE)+VLOOKUP($B25,'Управленческий блок'!$B$10:$O$76,COLUMN('Управленческий блок'!K:K)-1,FALSE)</f>
        <v>733846.85</v>
      </c>
      <c r="L25" s="724">
        <f>VLOOKUP($B25,'Коммерческий отдел'!$B$10:$O$58,COLUMN('Коммерческий отдел'!L:L)-1,FALSE)+VLOOKUP($B25,'Технический отдел'!$B$10:$O$58,COLUMN('Технический отдел'!L:L)-1,FALSE)+VLOOKUP($B25,'Управленческий блок'!$B$10:$O$76,COLUMN('Управленческий блок'!L:L)-1,FALSE)</f>
        <v>0</v>
      </c>
      <c r="M25" s="724">
        <f>VLOOKUP($B25,'Коммерческий отдел'!$B$10:$O$58,COLUMN('Коммерческий отдел'!M:M)-1,FALSE)+VLOOKUP($B25,'Технический отдел'!$B$10:$O$58,COLUMN('Технический отдел'!M:M)-1,FALSE)+VLOOKUP($B25,'Управленческий блок'!$B$10:$O$76,COLUMN('Управленческий блок'!M:M)-1,FALSE)</f>
        <v>0</v>
      </c>
      <c r="N25" s="724">
        <f>VLOOKUP($B25,'Коммерческий отдел'!$B$10:$O$58,COLUMN('Коммерческий отдел'!N:N)-1,FALSE)+VLOOKUP($B25,'Технический отдел'!$B$10:$O$58,COLUMN('Технический отдел'!N:N)-1,FALSE)+VLOOKUP($B25,'Управленческий блок'!$B$10:$O$76,COLUMN('Управленческий блок'!N:N)-1,FALSE)</f>
        <v>0</v>
      </c>
      <c r="O25" s="725">
        <f>VLOOKUP($B25,'Коммерческий отдел'!$B$10:$O$58,COLUMN('Коммерческий отдел'!O:O)-1,FALSE)+VLOOKUP($B25,'Технический отдел'!$B$10:$O$58,COLUMN('Технический отдел'!O:O)-1,FALSE)+VLOOKUP($B25,'Управленческий блок'!$B$10:$O$76,COLUMN('Управленческий блок'!O:O)-1,FALSE)</f>
        <v>0</v>
      </c>
      <c r="P25" s="8"/>
    </row>
    <row r="26" spans="1:16" ht="12.75" outlineLevel="1">
      <c r="A26" s="557"/>
      <c r="B26" s="460" t="s">
        <v>310</v>
      </c>
      <c r="C26" s="473" t="str">
        <f>VLOOKUP(B26,Справочники!$B:$F,3,FALSE)</f>
        <v>Бонусы </v>
      </c>
      <c r="D26" s="456">
        <f>VLOOKUP($B26,'Коммерческий отдел'!$B$10:$O$58,COLUMN('Коммерческий отдел'!D:D)-1,FALSE)+VLOOKUP($B26,'Технический отдел'!$B$10:$O$58,COLUMN('Технический отдел'!D:D)-1,FALSE)+VLOOKUP($B26,'Управленческий блок'!$B$10:$O$76,COLUMN('Управленческий блок'!D:D)-1,FALSE)</f>
        <v>5218.499999999999</v>
      </c>
      <c r="E26" s="724">
        <f>VLOOKUP($B26,'Коммерческий отдел'!$B$10:$O$58,COLUMN('Коммерческий отдел'!E:E)-1,FALSE)+VLOOKUP($B26,'Технический отдел'!$B$10:$O$58,COLUMN('Технический отдел'!E:E)-1,FALSE)+VLOOKUP($B26,'Управленческий блок'!$B$10:$O$76,COLUMN('Управленческий блок'!E:E)-1,FALSE)</f>
        <v>7003.5</v>
      </c>
      <c r="F26" s="724">
        <f>VLOOKUP($B26,'Коммерческий отдел'!$B$10:$O$58,COLUMN('Коммерческий отдел'!F:F)-1,FALSE)+VLOOKUP($B26,'Технический отдел'!$B$10:$O$58,COLUMN('Технический отдел'!F:F)-1,FALSE)+VLOOKUP($B26,'Управленческий блок'!$B$10:$O$76,COLUMN('Управленческий блок'!F:F)-1,FALSE)</f>
        <v>7892.499999999999</v>
      </c>
      <c r="G26" s="724">
        <f>VLOOKUP($B26,'Коммерческий отдел'!$B$10:$O$58,COLUMN('Коммерческий отдел'!G:G)-1,FALSE)+VLOOKUP($B26,'Технический отдел'!$B$10:$O$58,COLUMN('Технический отдел'!G:G)-1,FALSE)+VLOOKUP($B26,'Управленческий блок'!$B$10:$O$76,COLUMN('Управленческий блок'!G:G)-1,FALSE)</f>
        <v>8309</v>
      </c>
      <c r="H26" s="724">
        <f>VLOOKUP($B26,'Коммерческий отдел'!$B$10:$O$58,COLUMN('Коммерческий отдел'!H:H)-1,FALSE)+VLOOKUP($B26,'Технический отдел'!$B$10:$O$58,COLUMN('Технический отдел'!H:H)-1,FALSE)+VLOOKUP($B26,'Управленческий блок'!$B$10:$O$76,COLUMN('Управленческий блок'!H:H)-1,FALSE)</f>
        <v>51415.254237288136</v>
      </c>
      <c r="I26" s="724">
        <f>VLOOKUP($B26,'Коммерческий отдел'!$B$10:$O$58,COLUMN('Коммерческий отдел'!I:I)-1,FALSE)+VLOOKUP($B26,'Технический отдел'!$B$10:$O$58,COLUMN('Технический отдел'!I:I)-1,FALSE)+VLOOKUP($B26,'Управленческий блок'!$B$10:$O$76,COLUMN('Управленческий блок'!I:I)-1,FALSE)</f>
        <v>111281.35593220338</v>
      </c>
      <c r="J26" s="724">
        <f>VLOOKUP($B26,'Коммерческий отдел'!$B$10:$O$58,COLUMN('Коммерческий отдел'!J:J)-1,FALSE)+VLOOKUP($B26,'Технический отдел'!$B$10:$O$58,COLUMN('Технический отдел'!J:J)-1,FALSE)+VLOOKUP($B26,'Управленческий блок'!$B$10:$O$76,COLUMN('Управленческий блок'!J:J)-1,FALSE)</f>
        <v>183830.5084745763</v>
      </c>
      <c r="K26" s="724">
        <f>VLOOKUP($B26,'Коммерческий отдел'!$B$10:$O$58,COLUMN('Коммерческий отдел'!K:K)-1,FALSE)+VLOOKUP($B26,'Технический отдел'!$B$10:$O$58,COLUMN('Технический отдел'!K:K)-1,FALSE)+VLOOKUP($B26,'Управленческий блок'!$B$10:$O$76,COLUMN('Управленческий блок'!K:K)-1,FALSE)</f>
        <v>4025.4237288135596</v>
      </c>
      <c r="L26" s="724">
        <f>VLOOKUP($B26,'Коммерческий отдел'!$B$10:$O$58,COLUMN('Коммерческий отдел'!L:L)-1,FALSE)+VLOOKUP($B26,'Технический отдел'!$B$10:$O$58,COLUMN('Технический отдел'!L:L)-1,FALSE)+VLOOKUP($B26,'Управленческий блок'!$B$10:$O$76,COLUMN('Управленческий блок'!L:L)-1,FALSE)</f>
        <v>0</v>
      </c>
      <c r="M26" s="724">
        <f>VLOOKUP($B26,'Коммерческий отдел'!$B$10:$O$58,COLUMN('Коммерческий отдел'!M:M)-1,FALSE)+VLOOKUP($B26,'Технический отдел'!$B$10:$O$58,COLUMN('Технический отдел'!M:M)-1,FALSE)+VLOOKUP($B26,'Управленческий блок'!$B$10:$O$76,COLUMN('Управленческий блок'!M:M)-1,FALSE)</f>
        <v>0</v>
      </c>
      <c r="N26" s="724">
        <f>VLOOKUP($B26,'Коммерческий отдел'!$B$10:$O$58,COLUMN('Коммерческий отдел'!N:N)-1,FALSE)+VLOOKUP($B26,'Технический отдел'!$B$10:$O$58,COLUMN('Технический отдел'!N:N)-1,FALSE)+VLOOKUP($B26,'Управленческий блок'!$B$10:$O$76,COLUMN('Управленческий блок'!N:N)-1,FALSE)</f>
        <v>0</v>
      </c>
      <c r="O26" s="725">
        <f>VLOOKUP($B26,'Коммерческий отдел'!$B$10:$O$58,COLUMN('Коммерческий отдел'!O:O)-1,FALSE)+VLOOKUP($B26,'Технический отдел'!$B$10:$O$58,COLUMN('Технический отдел'!O:O)-1,FALSE)+VLOOKUP($B26,'Управленческий блок'!$B$10:$O$76,COLUMN('Управленческий блок'!O:O)-1,FALSE)</f>
        <v>0</v>
      </c>
      <c r="P26" s="8"/>
    </row>
    <row r="27" spans="1:16" ht="12.75" outlineLevel="1">
      <c r="A27" s="557"/>
      <c r="B27" s="460" t="s">
        <v>311</v>
      </c>
      <c r="C27" s="473" t="str">
        <f>VLOOKUP(B27,Справочники!$B:$F,3,FALSE)</f>
        <v>Вознаграждение по итогам года</v>
      </c>
      <c r="D27" s="456">
        <f>VLOOKUP($B27,'Коммерческий отдел'!$B$10:$O$58,COLUMN('Коммерческий отдел'!D:D)-1,FALSE)+VLOOKUP($B27,'Технический отдел'!$B$10:$O$58,COLUMN('Технический отдел'!D:D)-1,FALSE)+VLOOKUP($B27,'Управленческий блок'!$B$10:$O$76,COLUMN('Управленческий блок'!D:D)-1,FALSE)</f>
        <v>0</v>
      </c>
      <c r="E27" s="724">
        <f>VLOOKUP($B27,'Коммерческий отдел'!$B$10:$O$58,COLUMN('Коммерческий отдел'!E:E)-1,FALSE)+VLOOKUP($B27,'Технический отдел'!$B$10:$O$58,COLUMN('Технический отдел'!E:E)-1,FALSE)+VLOOKUP($B27,'Управленческий блок'!$B$10:$O$76,COLUMN('Управленческий блок'!E:E)-1,FALSE)</f>
        <v>0</v>
      </c>
      <c r="F27" s="724">
        <f>VLOOKUP($B27,'Коммерческий отдел'!$B$10:$O$58,COLUMN('Коммерческий отдел'!F:F)-1,FALSE)+VLOOKUP($B27,'Технический отдел'!$B$10:$O$58,COLUMN('Технический отдел'!F:F)-1,FALSE)+VLOOKUP($B27,'Управленческий блок'!$B$10:$O$76,COLUMN('Управленческий блок'!F:F)-1,FALSE)</f>
        <v>0</v>
      </c>
      <c r="G27" s="724">
        <f>VLOOKUP($B27,'Коммерческий отдел'!$B$10:$O$58,COLUMN('Коммерческий отдел'!G:G)-1,FALSE)+VLOOKUP($B27,'Технический отдел'!$B$10:$O$58,COLUMN('Технический отдел'!G:G)-1,FALSE)+VLOOKUP($B27,'Управленческий блок'!$B$10:$O$76,COLUMN('Управленческий блок'!G:G)-1,FALSE)</f>
        <v>33340</v>
      </c>
      <c r="H27" s="724">
        <f>VLOOKUP($B27,'Коммерческий отдел'!$B$10:$O$58,COLUMN('Коммерческий отдел'!H:H)-1,FALSE)+VLOOKUP($B27,'Технический отдел'!$B$10:$O$58,COLUMN('Технический отдел'!H:H)-1,FALSE)+VLOOKUP($B27,'Управленческий блок'!$B$10:$O$76,COLUMN('Управленческий блок'!H:H)-1,FALSE)</f>
        <v>45945.833333333336</v>
      </c>
      <c r="I27" s="724">
        <f>VLOOKUP($B27,'Коммерческий отдел'!$B$10:$O$58,COLUMN('Коммерческий отдел'!I:I)-1,FALSE)+VLOOKUP($B27,'Технический отдел'!$B$10:$O$58,COLUMN('Технический отдел'!I:I)-1,FALSE)+VLOOKUP($B27,'Управленческий блок'!$B$10:$O$76,COLUMN('Управленческий блок'!I:I)-1,FALSE)</f>
        <v>50540.41666666667</v>
      </c>
      <c r="J27" s="724">
        <f>VLOOKUP($B27,'Коммерческий отдел'!$B$10:$O$58,COLUMN('Коммерческий отдел'!J:J)-1,FALSE)+VLOOKUP($B27,'Технический отдел'!$B$10:$O$58,COLUMN('Технический отдел'!J:J)-1,FALSE)+VLOOKUP($B27,'Управленческий блок'!$B$10:$O$76,COLUMN('Управленческий блок'!J:J)-1,FALSE)</f>
        <v>55594.45833333333</v>
      </c>
      <c r="K27" s="724">
        <f>VLOOKUP($B27,'Коммерческий отдел'!$B$10:$O$58,COLUMN('Коммерческий отдел'!K:K)-1,FALSE)+VLOOKUP($B27,'Технический отдел'!$B$10:$O$58,COLUMN('Технический отдел'!K:K)-1,FALSE)+VLOOKUP($B27,'Управленческий блок'!$B$10:$O$76,COLUMN('Управленческий блок'!K:K)-1,FALSE)</f>
        <v>61153.904166666674</v>
      </c>
      <c r="L27" s="724">
        <f>VLOOKUP($B27,'Коммерческий отдел'!$B$10:$O$58,COLUMN('Коммерческий отдел'!L:L)-1,FALSE)+VLOOKUP($B27,'Технический отдел'!$B$10:$O$58,COLUMN('Технический отдел'!L:L)-1,FALSE)+VLOOKUP($B27,'Управленческий блок'!$B$10:$O$76,COLUMN('Управленческий блок'!L:L)-1,FALSE)</f>
        <v>0</v>
      </c>
      <c r="M27" s="724">
        <f>VLOOKUP($B27,'Коммерческий отдел'!$B$10:$O$58,COLUMN('Коммерческий отдел'!M:M)-1,FALSE)+VLOOKUP($B27,'Технический отдел'!$B$10:$O$58,COLUMN('Технический отдел'!M:M)-1,FALSE)+VLOOKUP($B27,'Управленческий блок'!$B$10:$O$76,COLUMN('Управленческий блок'!M:M)-1,FALSE)</f>
        <v>0</v>
      </c>
      <c r="N27" s="724">
        <f>VLOOKUP($B27,'Коммерческий отдел'!$B$10:$O$58,COLUMN('Коммерческий отдел'!N:N)-1,FALSE)+VLOOKUP($B27,'Технический отдел'!$B$10:$O$58,COLUMN('Технический отдел'!N:N)-1,FALSE)+VLOOKUP($B27,'Управленческий блок'!$B$10:$O$76,COLUMN('Управленческий блок'!N:N)-1,FALSE)</f>
        <v>0</v>
      </c>
      <c r="O27" s="725">
        <f>VLOOKUP($B27,'Коммерческий отдел'!$B$10:$O$58,COLUMN('Коммерческий отдел'!O:O)-1,FALSE)+VLOOKUP($B27,'Технический отдел'!$B$10:$O$58,COLUMN('Технический отдел'!O:O)-1,FALSE)+VLOOKUP($B27,'Управленческий блок'!$B$10:$O$76,COLUMN('Управленческий блок'!O:O)-1,FALSE)</f>
        <v>0</v>
      </c>
      <c r="P27" s="8"/>
    </row>
    <row r="28" spans="1:16" ht="12.75" outlineLevel="1">
      <c r="A28" s="557"/>
      <c r="B28" s="460" t="s">
        <v>7</v>
      </c>
      <c r="C28" s="473" t="str">
        <f>VLOOKUP(B28,Справочники!$B:$F,3,FALSE)</f>
        <v>Сдельная оплата труда</v>
      </c>
      <c r="D28" s="456">
        <f>VLOOKUP($B28,'Коммерческий отдел'!$B$10:$O$58,COLUMN('Коммерческий отдел'!D:D)-1,FALSE)+VLOOKUP($B28,'Технический отдел'!$B$10:$O$58,COLUMN('Технический отдел'!D:D)-1,FALSE)+VLOOKUP($B28,'Управленческий блок'!$B$10:$O$76,COLUMN('Управленческий блок'!D:D)-1,FALSE)</f>
        <v>0</v>
      </c>
      <c r="E28" s="724">
        <f>VLOOKUP($B28,'Коммерческий отдел'!$B$10:$O$58,COLUMN('Коммерческий отдел'!E:E)-1,FALSE)+VLOOKUP($B28,'Технический отдел'!$B$10:$O$58,COLUMN('Технический отдел'!E:E)-1,FALSE)+VLOOKUP($B28,'Управленческий блок'!$B$10:$O$76,COLUMN('Управленческий блок'!E:E)-1,FALSE)</f>
        <v>0</v>
      </c>
      <c r="F28" s="724">
        <f>VLOOKUP($B28,'Коммерческий отдел'!$B$10:$O$58,COLUMN('Коммерческий отдел'!F:F)-1,FALSE)+VLOOKUP($B28,'Технический отдел'!$B$10:$O$58,COLUMN('Технический отдел'!F:F)-1,FALSE)+VLOOKUP($B28,'Управленческий блок'!$B$10:$O$76,COLUMN('Управленческий блок'!F:F)-1,FALSE)</f>
        <v>0</v>
      </c>
      <c r="G28" s="724">
        <f>VLOOKUP($B28,'Коммерческий отдел'!$B$10:$O$58,COLUMN('Коммерческий отдел'!G:G)-1,FALSE)+VLOOKUP($B28,'Технический отдел'!$B$10:$O$58,COLUMN('Технический отдел'!G:G)-1,FALSE)+VLOOKUP($B28,'Управленческий блок'!$B$10:$O$76,COLUMN('Управленческий блок'!G:G)-1,FALSE)</f>
        <v>0</v>
      </c>
      <c r="H28" s="724">
        <f>VLOOKUP($B28,'Коммерческий отдел'!$B$10:$O$58,COLUMN('Коммерческий отдел'!H:H)-1,FALSE)+VLOOKUP($B28,'Технический отдел'!$B$10:$O$58,COLUMN('Технический отдел'!H:H)-1,FALSE)+VLOOKUP($B28,'Управленческий блок'!$B$10:$O$76,COLUMN('Управленческий блок'!H:H)-1,FALSE)</f>
        <v>0</v>
      </c>
      <c r="I28" s="724">
        <f>VLOOKUP($B28,'Коммерческий отдел'!$B$10:$O$58,COLUMN('Коммерческий отдел'!I:I)-1,FALSE)+VLOOKUP($B28,'Технический отдел'!$B$10:$O$58,COLUMN('Технический отдел'!I:I)-1,FALSE)+VLOOKUP($B28,'Управленческий блок'!$B$10:$O$76,COLUMN('Управленческий блок'!I:I)-1,FALSE)</f>
        <v>0</v>
      </c>
      <c r="J28" s="724">
        <f>VLOOKUP($B28,'Коммерческий отдел'!$B$10:$O$58,COLUMN('Коммерческий отдел'!J:J)-1,FALSE)+VLOOKUP($B28,'Технический отдел'!$B$10:$O$58,COLUMN('Технический отдел'!J:J)-1,FALSE)+VLOOKUP($B28,'Управленческий блок'!$B$10:$O$76,COLUMN('Управленческий блок'!J:J)-1,FALSE)</f>
        <v>0</v>
      </c>
      <c r="K28" s="724">
        <f>VLOOKUP($B28,'Коммерческий отдел'!$B$10:$O$58,COLUMN('Коммерческий отдел'!K:K)-1,FALSE)+VLOOKUP($B28,'Технический отдел'!$B$10:$O$58,COLUMN('Технический отдел'!K:K)-1,FALSE)+VLOOKUP($B28,'Управленческий блок'!$B$10:$O$76,COLUMN('Управленческий блок'!K:K)-1,FALSE)</f>
        <v>0</v>
      </c>
      <c r="L28" s="724">
        <f>VLOOKUP($B28,'Коммерческий отдел'!$B$10:$O$58,COLUMN('Коммерческий отдел'!L:L)-1,FALSE)+VLOOKUP($B28,'Технический отдел'!$B$10:$O$58,COLUMN('Технический отдел'!L:L)-1,FALSE)+VLOOKUP($B28,'Управленческий блок'!$B$10:$O$76,COLUMN('Управленческий блок'!L:L)-1,FALSE)</f>
        <v>0</v>
      </c>
      <c r="M28" s="724">
        <f>VLOOKUP($B28,'Коммерческий отдел'!$B$10:$O$58,COLUMN('Коммерческий отдел'!M:M)-1,FALSE)+VLOOKUP($B28,'Технический отдел'!$B$10:$O$58,COLUMN('Технический отдел'!M:M)-1,FALSE)+VLOOKUP($B28,'Управленческий блок'!$B$10:$O$76,COLUMN('Управленческий блок'!M:M)-1,FALSE)</f>
        <v>0</v>
      </c>
      <c r="N28" s="724">
        <f>VLOOKUP($B28,'Коммерческий отдел'!$B$10:$O$58,COLUMN('Коммерческий отдел'!N:N)-1,FALSE)+VLOOKUP($B28,'Технический отдел'!$B$10:$O$58,COLUMN('Технический отдел'!N:N)-1,FALSE)+VLOOKUP($B28,'Управленческий блок'!$B$10:$O$76,COLUMN('Управленческий блок'!N:N)-1,FALSE)</f>
        <v>0</v>
      </c>
      <c r="O28" s="725">
        <f>VLOOKUP($B28,'Коммерческий отдел'!$B$10:$O$58,COLUMN('Коммерческий отдел'!O:O)-1,FALSE)+VLOOKUP($B28,'Технический отдел'!$B$10:$O$58,COLUMN('Технический отдел'!O:O)-1,FALSE)+VLOOKUP($B28,'Управленческий блок'!$B$10:$O$76,COLUMN('Управленческий блок'!O:O)-1,FALSE)</f>
        <v>0</v>
      </c>
      <c r="P28" s="8"/>
    </row>
    <row r="29" spans="1:16" s="1" customFormat="1" ht="12.75">
      <c r="A29" s="674"/>
      <c r="B29" s="675" t="s">
        <v>312</v>
      </c>
      <c r="C29" s="462" t="str">
        <f>VLOOKUP(B29,Справочники!$B:$F,3,FALSE)</f>
        <v>Единый социальный налог</v>
      </c>
      <c r="D29" s="733">
        <f>SUM(D30:D33)</f>
        <v>26005.2</v>
      </c>
      <c r="E29" s="470">
        <f aca="true" t="shared" si="4" ref="E29:O29">SUM(E30:E33)</f>
        <v>25205.04</v>
      </c>
      <c r="F29" s="470">
        <f t="shared" si="4"/>
        <v>10967.233333333334</v>
      </c>
      <c r="G29" s="470">
        <f t="shared" si="4"/>
        <v>10967.233333333334</v>
      </c>
      <c r="H29" s="470">
        <f t="shared" si="4"/>
        <v>53843.58333333333</v>
      </c>
      <c r="I29" s="470">
        <f t="shared" si="4"/>
        <v>59081.40833333333</v>
      </c>
      <c r="J29" s="470">
        <f t="shared" si="4"/>
        <v>64843.01583333334</v>
      </c>
      <c r="K29" s="470">
        <f t="shared" si="4"/>
        <v>71180.78408333333</v>
      </c>
      <c r="L29" s="470">
        <f t="shared" si="4"/>
        <v>71180.78408333333</v>
      </c>
      <c r="M29" s="470">
        <f t="shared" si="4"/>
        <v>71180.78408333333</v>
      </c>
      <c r="N29" s="470">
        <f t="shared" si="4"/>
        <v>71180.78408333333</v>
      </c>
      <c r="O29" s="734">
        <f t="shared" si="4"/>
        <v>71180.78408333333</v>
      </c>
      <c r="P29" s="45"/>
    </row>
    <row r="30" spans="1:16" ht="12.75" outlineLevel="1">
      <c r="A30" s="557"/>
      <c r="B30" s="460" t="s">
        <v>313</v>
      </c>
      <c r="C30" s="473" t="str">
        <f>VLOOKUP(B30,Справочники!$B:$F,3,FALSE)</f>
        <v>Пенсионный фонд</v>
      </c>
      <c r="D30" s="456">
        <f>Налоги!D25</f>
        <v>20004</v>
      </c>
      <c r="E30" s="724">
        <f>Налоги!E25</f>
        <v>20004</v>
      </c>
      <c r="F30" s="724">
        <f>Налоги!F25</f>
        <v>9030.913333333334</v>
      </c>
      <c r="G30" s="724">
        <f>Налоги!G25</f>
        <v>9030.913333333334</v>
      </c>
      <c r="H30" s="724">
        <f>Налоги!H25</f>
        <v>44685.98333333333</v>
      </c>
      <c r="I30" s="724">
        <f>Налоги!I25</f>
        <v>49041.64833333333</v>
      </c>
      <c r="J30" s="724">
        <f>Налоги!J25</f>
        <v>53832.87983333333</v>
      </c>
      <c r="K30" s="724">
        <f>Налоги!K25</f>
        <v>59103.23448333333</v>
      </c>
      <c r="L30" s="724">
        <f>Налоги!L25</f>
        <v>59103.23448333333</v>
      </c>
      <c r="M30" s="724">
        <f>Налоги!M25</f>
        <v>59103.23448333333</v>
      </c>
      <c r="N30" s="724">
        <f>Налоги!N25</f>
        <v>59103.23448333333</v>
      </c>
      <c r="O30" s="725">
        <f>Налоги!O25</f>
        <v>59103.23448333333</v>
      </c>
      <c r="P30" s="8"/>
    </row>
    <row r="31" spans="1:16" ht="12.75" outlineLevel="1">
      <c r="A31" s="557"/>
      <c r="B31" s="460" t="s">
        <v>314</v>
      </c>
      <c r="C31" s="473" t="str">
        <f>VLOOKUP(B31,Справочники!$B:$F,3,FALSE)</f>
        <v>Фонд социального страхования</v>
      </c>
      <c r="D31" s="456">
        <f>Налоги!D33</f>
        <v>3200.64</v>
      </c>
      <c r="E31" s="724">
        <f>Налоги!E33</f>
        <v>3200.64</v>
      </c>
      <c r="F31" s="724">
        <f>Налоги!F33</f>
        <v>1296.22</v>
      </c>
      <c r="G31" s="724">
        <f>Налоги!G33</f>
        <v>1296.22</v>
      </c>
      <c r="H31" s="724">
        <f>Налоги!H33</f>
        <v>6260.85</v>
      </c>
      <c r="I31" s="724">
        <f>Налоги!I33</f>
        <v>6867.335</v>
      </c>
      <c r="J31" s="724">
        <f>Налоги!J33</f>
        <v>7534.4685</v>
      </c>
      <c r="K31" s="724">
        <f>Налоги!K33</f>
        <v>8268.315349999999</v>
      </c>
      <c r="L31" s="724">
        <f>Налоги!L33</f>
        <v>8268.315349999999</v>
      </c>
      <c r="M31" s="724">
        <f>Налоги!M33</f>
        <v>8268.315349999999</v>
      </c>
      <c r="N31" s="724">
        <f>Налоги!N33</f>
        <v>8268.315349999999</v>
      </c>
      <c r="O31" s="725">
        <f>Налоги!O33</f>
        <v>8268.315349999999</v>
      </c>
      <c r="P31" s="8"/>
    </row>
    <row r="32" spans="1:16" ht="12.75" outlineLevel="1">
      <c r="A32" s="557"/>
      <c r="B32" s="460" t="s">
        <v>315</v>
      </c>
      <c r="C32" s="473" t="str">
        <f>VLOOKUP(B32,Справочники!$B:$F,3,FALSE)</f>
        <v>Фед. фонд обязат. мед. страхования</v>
      </c>
      <c r="D32" s="456">
        <f>Налоги!D40</f>
        <v>800.16</v>
      </c>
      <c r="E32" s="724"/>
      <c r="F32" s="724"/>
      <c r="G32" s="724"/>
      <c r="H32" s="724"/>
      <c r="I32" s="724"/>
      <c r="J32" s="724"/>
      <c r="K32" s="724"/>
      <c r="L32" s="724"/>
      <c r="M32" s="724"/>
      <c r="N32" s="724"/>
      <c r="O32" s="725"/>
      <c r="P32" s="8"/>
    </row>
    <row r="33" spans="1:16" ht="12.75" outlineLevel="1">
      <c r="A33" s="557"/>
      <c r="B33" s="460" t="s">
        <v>316</v>
      </c>
      <c r="C33" s="473" t="str">
        <f>VLOOKUP(B33,Справочники!$B:$F,3,FALSE)</f>
        <v>Терр. фонд обязат. мед. страхования</v>
      </c>
      <c r="D33" s="456">
        <f>Налоги!D47</f>
        <v>2000.4</v>
      </c>
      <c r="E33" s="724">
        <f>Налоги!E47</f>
        <v>2000.4</v>
      </c>
      <c r="F33" s="724">
        <f>Налоги!F47</f>
        <v>640.1</v>
      </c>
      <c r="G33" s="724">
        <f>Налоги!G47</f>
        <v>640.1</v>
      </c>
      <c r="H33" s="724">
        <f>Налоги!H47</f>
        <v>2896.75</v>
      </c>
      <c r="I33" s="724">
        <f>Налоги!I47</f>
        <v>3172.425</v>
      </c>
      <c r="J33" s="724">
        <f>Налоги!J47</f>
        <v>3475.6675000000005</v>
      </c>
      <c r="K33" s="724">
        <f>Налоги!K47</f>
        <v>3809.23425</v>
      </c>
      <c r="L33" s="724">
        <f>Налоги!L47</f>
        <v>3809.23425</v>
      </c>
      <c r="M33" s="724">
        <f>Налоги!M47</f>
        <v>3809.23425</v>
      </c>
      <c r="N33" s="724">
        <f>Налоги!N47</f>
        <v>3809.23425</v>
      </c>
      <c r="O33" s="725">
        <f>Налоги!O47</f>
        <v>3809.23425</v>
      </c>
      <c r="P33" s="8"/>
    </row>
    <row r="34" spans="1:16" s="1" customFormat="1" ht="12.75">
      <c r="A34" s="674"/>
      <c r="B34" s="675" t="s">
        <v>317</v>
      </c>
      <c r="C34" s="462" t="str">
        <f>VLOOKUP(B34,Справочники!$B:$F,3,FALSE)</f>
        <v>Услуги сторонних организаций</v>
      </c>
      <c r="D34" s="733">
        <f>SUM(D35:D39,D40,D44:D54)</f>
        <v>70988</v>
      </c>
      <c r="E34" s="470">
        <f aca="true" t="shared" si="5" ref="E34:O34">SUM(E35:E39,E40,E44:E54)</f>
        <v>60188</v>
      </c>
      <c r="F34" s="470">
        <f t="shared" si="5"/>
        <v>90188</v>
      </c>
      <c r="G34" s="470">
        <f t="shared" si="5"/>
        <v>90188</v>
      </c>
      <c r="H34" s="470">
        <f t="shared" si="5"/>
        <v>561509.1355932204</v>
      </c>
      <c r="I34" s="470">
        <f t="shared" si="5"/>
        <v>642358.3898305085</v>
      </c>
      <c r="J34" s="470">
        <f t="shared" si="5"/>
        <v>752395.0211864407</v>
      </c>
      <c r="K34" s="470">
        <f t="shared" si="5"/>
        <v>448515.2468220339</v>
      </c>
      <c r="L34" s="470">
        <f t="shared" si="5"/>
        <v>82440.6779661017</v>
      </c>
      <c r="M34" s="470">
        <f t="shared" si="5"/>
        <v>0</v>
      </c>
      <c r="N34" s="470">
        <f t="shared" si="5"/>
        <v>0</v>
      </c>
      <c r="O34" s="734">
        <f t="shared" si="5"/>
        <v>0</v>
      </c>
      <c r="P34" s="45"/>
    </row>
    <row r="35" spans="1:16" ht="12.75" outlineLevel="1">
      <c r="A35" s="557"/>
      <c r="B35" s="460" t="s">
        <v>318</v>
      </c>
      <c r="C35" s="473" t="str">
        <f>VLOOKUP(B35,Справочники!$B:$F,3,FALSE)</f>
        <v>Аренда зданий и помещений</v>
      </c>
      <c r="D35" s="456">
        <f>VLOOKUP($B35,'Коммерческий отдел'!$B$10:$O$58,COLUMN('Коммерческий отдел'!D:D)-1,FALSE)+VLOOKUP($B35,'Технический отдел'!$B$10:$O$58,COLUMN('Технический отдел'!D:D)-1,FALSE)+VLOOKUP($B35,'Управленческий блок'!$B$10:$O$76,COLUMN('Управленческий блок'!D:D)-1,FALSE)</f>
        <v>29993</v>
      </c>
      <c r="E35" s="724">
        <f>VLOOKUP($B35,'Коммерческий отдел'!$B$10:$O$58,COLUMN('Коммерческий отдел'!E:E)-1,FALSE)+VLOOKUP($B35,'Технический отдел'!$B$10:$O$58,COLUMN('Технический отдел'!E:E)-1,FALSE)+VLOOKUP($B35,'Управленческий блок'!$B$10:$O$76,COLUMN('Управленческий блок'!E:E)-1,FALSE)</f>
        <v>29993</v>
      </c>
      <c r="F35" s="724">
        <f>VLOOKUP($B35,'Коммерческий отдел'!$B$10:$O$58,COLUMN('Коммерческий отдел'!F:F)-1,FALSE)+VLOOKUP($B35,'Технический отдел'!$B$10:$O$58,COLUMN('Технический отдел'!F:F)-1,FALSE)+VLOOKUP($B35,'Управленческий блок'!$B$10:$O$76,COLUMN('Управленческий блок'!F:F)-1,FALSE)</f>
        <v>29993</v>
      </c>
      <c r="G35" s="724">
        <f>VLOOKUP($B35,'Коммерческий отдел'!$B$10:$O$58,COLUMN('Коммерческий отдел'!G:G)-1,FALSE)+VLOOKUP($B35,'Технический отдел'!$B$10:$O$58,COLUMN('Технический отдел'!G:G)-1,FALSE)+VLOOKUP($B35,'Управленческий блок'!$B$10:$O$76,COLUMN('Управленческий блок'!G:G)-1,FALSE)</f>
        <v>29993</v>
      </c>
      <c r="H35" s="724">
        <f>VLOOKUP($B35,'Коммерческий отдел'!$B$10:$O$58,COLUMN('Коммерческий отдел'!H:H)-1,FALSE)+VLOOKUP($B35,'Технический отдел'!$B$10:$O$58,COLUMN('Технический отдел'!H:H)-1,FALSE)+VLOOKUP($B35,'Управленческий блок'!$B$10:$O$76,COLUMN('Управленческий блок'!H:H)-1,FALSE)</f>
        <v>208521</v>
      </c>
      <c r="I35" s="724">
        <f>VLOOKUP($B35,'Коммерческий отдел'!$B$10:$O$58,COLUMN('Коммерческий отдел'!I:I)-1,FALSE)+VLOOKUP($B35,'Технический отдел'!$B$10:$O$58,COLUMN('Технический отдел'!I:I)-1,FALSE)+VLOOKUP($B35,'Управленческий блок'!$B$10:$O$76,COLUMN('Управленческий блок'!I:I)-1,FALSE)</f>
        <v>229220</v>
      </c>
      <c r="J35" s="724">
        <f>VLOOKUP($B35,'Коммерческий отдел'!$B$10:$O$58,COLUMN('Коммерческий отдел'!J:J)-1,FALSE)+VLOOKUP($B35,'Технический отдел'!$B$10:$O$58,COLUMN('Технический отдел'!J:J)-1,FALSE)+VLOOKUP($B35,'Управленческий блок'!$B$10:$O$76,COLUMN('Управленческий блок'!J:J)-1,FALSE)</f>
        <v>238284</v>
      </c>
      <c r="K35" s="724">
        <f>VLOOKUP($B35,'Коммерческий отдел'!$B$10:$O$58,COLUMN('Коммерческий отдел'!K:K)-1,FALSE)+VLOOKUP($B35,'Технический отдел'!$B$10:$O$58,COLUMN('Технический отдел'!K:K)-1,FALSE)+VLOOKUP($B35,'Управленческий блок'!$B$10:$O$76,COLUMN('Управленческий блок'!K:K)-1,FALSE)</f>
        <v>255183.4</v>
      </c>
      <c r="L35" s="724">
        <f>VLOOKUP($B35,'Коммерческий отдел'!$B$10:$O$58,COLUMN('Коммерческий отдел'!L:L)-1,FALSE)+VLOOKUP($B35,'Технический отдел'!$B$10:$O$58,COLUMN('Технический отдел'!L:L)-1,FALSE)+VLOOKUP($B35,'Управленческий блок'!$B$10:$O$76,COLUMN('Управленческий блок'!L:L)-1,FALSE)</f>
        <v>0</v>
      </c>
      <c r="M35" s="724">
        <f>VLOOKUP($B35,'Коммерческий отдел'!$B$10:$O$58,COLUMN('Коммерческий отдел'!M:M)-1,FALSE)+VLOOKUP($B35,'Технический отдел'!$B$10:$O$58,COLUMN('Технический отдел'!M:M)-1,FALSE)+VLOOKUP($B35,'Управленческий блок'!$B$10:$O$76,COLUMN('Управленческий блок'!M:M)-1,FALSE)</f>
        <v>0</v>
      </c>
      <c r="N35" s="724">
        <f>VLOOKUP($B35,'Коммерческий отдел'!$B$10:$O$58,COLUMN('Коммерческий отдел'!N:N)-1,FALSE)+VLOOKUP($B35,'Технический отдел'!$B$10:$O$58,COLUMN('Технический отдел'!N:N)-1,FALSE)+VLOOKUP($B35,'Управленческий блок'!$B$10:$O$76,COLUMN('Управленческий блок'!N:N)-1,FALSE)</f>
        <v>0</v>
      </c>
      <c r="O35" s="725">
        <f>VLOOKUP($B35,'Коммерческий отдел'!$B$10:$O$58,COLUMN('Коммерческий отдел'!O:O)-1,FALSE)+VLOOKUP($B35,'Технический отдел'!$B$10:$O$58,COLUMN('Технический отдел'!O:O)-1,FALSE)+VLOOKUP($B35,'Управленческий блок'!$B$10:$O$76,COLUMN('Управленческий блок'!O:O)-1,FALSE)</f>
        <v>0</v>
      </c>
      <c r="P35" s="8"/>
    </row>
    <row r="36" spans="1:16" ht="12.75" outlineLevel="1">
      <c r="A36" s="557"/>
      <c r="B36" s="460" t="s">
        <v>319</v>
      </c>
      <c r="C36" s="473" t="str">
        <f>VLOOKUP(B36,Справочники!$B:$F,3,FALSE)</f>
        <v>Услуги по ремонту транспортных средств</v>
      </c>
      <c r="D36" s="456">
        <f>VLOOKUP($B36,'Коммерческий отдел'!$B$10:$O$58,COLUMN('Коммерческий отдел'!D:D)-1,FALSE)+VLOOKUP($B36,'Технический отдел'!$B$10:$O$58,COLUMN('Технический отдел'!D:D)-1,FALSE)+VLOOKUP($B36,'Управленческий блок'!$B$10:$O$76,COLUMN('Управленческий блок'!D:D)-1,FALSE)</f>
        <v>0</v>
      </c>
      <c r="E36" s="724">
        <f>VLOOKUP($B36,'Коммерческий отдел'!$B$10:$O$58,COLUMN('Коммерческий отдел'!E:E)-1,FALSE)+VLOOKUP($B36,'Технический отдел'!$B$10:$O$58,COLUMN('Технический отдел'!E:E)-1,FALSE)+VLOOKUP($B36,'Управленческий блок'!$B$10:$O$76,COLUMN('Управленческий блок'!E:E)-1,FALSE)</f>
        <v>0</v>
      </c>
      <c r="F36" s="724">
        <f>VLOOKUP($B36,'Коммерческий отдел'!$B$10:$O$58,COLUMN('Коммерческий отдел'!F:F)-1,FALSE)+VLOOKUP($B36,'Технический отдел'!$B$10:$O$58,COLUMN('Технический отдел'!F:F)-1,FALSE)+VLOOKUP($B36,'Управленческий блок'!$B$10:$O$76,COLUMN('Управленческий блок'!F:F)-1,FALSE)</f>
        <v>0</v>
      </c>
      <c r="G36" s="724">
        <f>VLOOKUP($B36,'Коммерческий отдел'!$B$10:$O$58,COLUMN('Коммерческий отдел'!G:G)-1,FALSE)+VLOOKUP($B36,'Технический отдел'!$B$10:$O$58,COLUMN('Технический отдел'!G:G)-1,FALSE)+VLOOKUP($B36,'Управленческий блок'!$B$10:$O$76,COLUMN('Управленческий блок'!G:G)-1,FALSE)</f>
        <v>0</v>
      </c>
      <c r="H36" s="724">
        <f>VLOOKUP($B36,'Коммерческий отдел'!$B$10:$O$58,COLUMN('Коммерческий отдел'!H:H)-1,FALSE)+VLOOKUP($B36,'Технический отдел'!$B$10:$O$58,COLUMN('Технический отдел'!H:H)-1,FALSE)+VLOOKUP($B36,'Управленческий блок'!$B$10:$O$76,COLUMN('Управленческий блок'!H:H)-1,FALSE)</f>
        <v>0</v>
      </c>
      <c r="I36" s="724">
        <f>VLOOKUP($B36,'Коммерческий отдел'!$B$10:$O$58,COLUMN('Коммерческий отдел'!I:I)-1,FALSE)+VLOOKUP($B36,'Технический отдел'!$B$10:$O$58,COLUMN('Технический отдел'!I:I)-1,FALSE)+VLOOKUP($B36,'Управленческий блок'!$B$10:$O$76,COLUMN('Управленческий блок'!I:I)-1,FALSE)</f>
        <v>0</v>
      </c>
      <c r="J36" s="724">
        <f>VLOOKUP($B36,'Коммерческий отдел'!$B$10:$O$58,COLUMN('Коммерческий отдел'!J:J)-1,FALSE)+VLOOKUP($B36,'Технический отдел'!$B$10:$O$58,COLUMN('Технический отдел'!J:J)-1,FALSE)+VLOOKUP($B36,'Управленческий блок'!$B$10:$O$76,COLUMN('Управленческий блок'!J:J)-1,FALSE)</f>
        <v>0</v>
      </c>
      <c r="K36" s="724">
        <f>VLOOKUP($B36,'Коммерческий отдел'!$B$10:$O$58,COLUMN('Коммерческий отдел'!K:K)-1,FALSE)+VLOOKUP($B36,'Технический отдел'!$B$10:$O$58,COLUMN('Технический отдел'!K:K)-1,FALSE)+VLOOKUP($B36,'Управленческий блок'!$B$10:$O$76,COLUMN('Управленческий блок'!K:K)-1,FALSE)</f>
        <v>0</v>
      </c>
      <c r="L36" s="724">
        <f>VLOOKUP($B36,'Коммерческий отдел'!$B$10:$O$58,COLUMN('Коммерческий отдел'!L:L)-1,FALSE)+VLOOKUP($B36,'Технический отдел'!$B$10:$O$58,COLUMN('Технический отдел'!L:L)-1,FALSE)+VLOOKUP($B36,'Управленческий блок'!$B$10:$O$76,COLUMN('Управленческий блок'!L:L)-1,FALSE)</f>
        <v>0</v>
      </c>
      <c r="M36" s="724">
        <f>VLOOKUP($B36,'Коммерческий отдел'!$B$10:$O$58,COLUMN('Коммерческий отдел'!M:M)-1,FALSE)+VLOOKUP($B36,'Технический отдел'!$B$10:$O$58,COLUMN('Технический отдел'!M:M)-1,FALSE)+VLOOKUP($B36,'Управленческий блок'!$B$10:$O$76,COLUMN('Управленческий блок'!M:M)-1,FALSE)</f>
        <v>0</v>
      </c>
      <c r="N36" s="724">
        <f>VLOOKUP($B36,'Коммерческий отдел'!$B$10:$O$58,COLUMN('Коммерческий отдел'!N:N)-1,FALSE)+VLOOKUP($B36,'Технический отдел'!$B$10:$O$58,COLUMN('Технический отдел'!N:N)-1,FALSE)+VLOOKUP($B36,'Управленческий блок'!$B$10:$O$76,COLUMN('Управленческий блок'!N:N)-1,FALSE)</f>
        <v>0</v>
      </c>
      <c r="O36" s="725">
        <f>VLOOKUP($B36,'Коммерческий отдел'!$B$10:$O$58,COLUMN('Коммерческий отдел'!O:O)-1,FALSE)+VLOOKUP($B36,'Технический отдел'!$B$10:$O$58,COLUMN('Технический отдел'!O:O)-1,FALSE)+VLOOKUP($B36,'Управленческий блок'!$B$10:$O$76,COLUMN('Управленческий блок'!O:O)-1,FALSE)</f>
        <v>0</v>
      </c>
      <c r="P36" s="8"/>
    </row>
    <row r="37" spans="1:16" ht="12.75" outlineLevel="1">
      <c r="A37" s="557"/>
      <c r="B37" s="460" t="s">
        <v>558</v>
      </c>
      <c r="C37" s="473" t="str">
        <f>VLOOKUP(B37,Справочники!$B:$F,3,FALSE)</f>
        <v>Услуги по ремонту зданий и сооружений</v>
      </c>
      <c r="D37" s="456">
        <f>VLOOKUP($B37,'Коммерческий отдел'!$B$10:$O$58,COLUMN('Коммерческий отдел'!D:D)-1,FALSE)+VLOOKUP($B37,'Технический отдел'!$B$10:$O$58,COLUMN('Технический отдел'!D:D)-1,FALSE)+VLOOKUP($B37,'Управленческий блок'!$B$10:$O$76,COLUMN('Управленческий блок'!D:D)-1,FALSE)</f>
        <v>10800</v>
      </c>
      <c r="E37" s="724">
        <f>VLOOKUP($B37,'Коммерческий отдел'!$B$10:$O$58,COLUMN('Коммерческий отдел'!E:E)-1,FALSE)+VLOOKUP($B37,'Технический отдел'!$B$10:$O$58,COLUMN('Технический отдел'!E:E)-1,FALSE)+VLOOKUP($B37,'Управленческий блок'!$B$10:$O$76,COLUMN('Управленческий блок'!E:E)-1,FALSE)</f>
        <v>0</v>
      </c>
      <c r="F37" s="724">
        <f>VLOOKUP($B37,'Коммерческий отдел'!$B$10:$O$58,COLUMN('Коммерческий отдел'!F:F)-1,FALSE)+VLOOKUP($B37,'Технический отдел'!$B$10:$O$58,COLUMN('Технический отдел'!F:F)-1,FALSE)+VLOOKUP($B37,'Управленческий блок'!$B$10:$O$76,COLUMN('Управленческий блок'!F:F)-1,FALSE)</f>
        <v>0</v>
      </c>
      <c r="G37" s="724">
        <f>VLOOKUP($B37,'Коммерческий отдел'!$B$10:$O$58,COLUMN('Коммерческий отдел'!G:G)-1,FALSE)+VLOOKUP($B37,'Технический отдел'!$B$10:$O$58,COLUMN('Технический отдел'!G:G)-1,FALSE)+VLOOKUP($B37,'Управленческий блок'!$B$10:$O$76,COLUMN('Управленческий блок'!G:G)-1,FALSE)</f>
        <v>0</v>
      </c>
      <c r="H37" s="724">
        <f>VLOOKUP($B37,'Коммерческий отдел'!$B$10:$O$58,COLUMN('Коммерческий отдел'!H:H)-1,FALSE)+VLOOKUP($B37,'Технический отдел'!$B$10:$O$58,COLUMN('Технический отдел'!H:H)-1,FALSE)+VLOOKUP($B37,'Управленческий блок'!$B$10:$O$76,COLUMN('Управленческий блок'!H:H)-1,FALSE)</f>
        <v>15000</v>
      </c>
      <c r="I37" s="724">
        <f>VLOOKUP($B37,'Коммерческий отдел'!$B$10:$O$58,COLUMN('Коммерческий отдел'!I:I)-1,FALSE)+VLOOKUP($B37,'Технический отдел'!$B$10:$O$58,COLUMN('Технический отдел'!I:I)-1,FALSE)+VLOOKUP($B37,'Управленческий блок'!$B$10:$O$76,COLUMN('Управленческий блок'!I:I)-1,FALSE)</f>
        <v>0</v>
      </c>
      <c r="J37" s="724">
        <f>VLOOKUP($B37,'Коммерческий отдел'!$B$10:$O$58,COLUMN('Коммерческий отдел'!J:J)-1,FALSE)+VLOOKUP($B37,'Технический отдел'!$B$10:$O$58,COLUMN('Технический отдел'!J:J)-1,FALSE)+VLOOKUP($B37,'Управленческий блок'!$B$10:$O$76,COLUMN('Управленческий блок'!J:J)-1,FALSE)</f>
        <v>0</v>
      </c>
      <c r="K37" s="724">
        <f>VLOOKUP($B37,'Коммерческий отдел'!$B$10:$O$58,COLUMN('Коммерческий отдел'!K:K)-1,FALSE)+VLOOKUP($B37,'Технический отдел'!$B$10:$O$58,COLUMN('Технический отдел'!K:K)-1,FALSE)+VLOOKUP($B37,'Управленческий блок'!$B$10:$O$76,COLUMN('Управленческий блок'!K:K)-1,FALSE)</f>
        <v>0</v>
      </c>
      <c r="L37" s="724">
        <f>VLOOKUP($B37,'Коммерческий отдел'!$B$10:$O$58,COLUMN('Коммерческий отдел'!L:L)-1,FALSE)+VLOOKUP($B37,'Технический отдел'!$B$10:$O$58,COLUMN('Технический отдел'!L:L)-1,FALSE)+VLOOKUP($B37,'Управленческий блок'!$B$10:$O$76,COLUMN('Управленческий блок'!L:L)-1,FALSE)</f>
        <v>0</v>
      </c>
      <c r="M37" s="724">
        <f>VLOOKUP($B37,'Коммерческий отдел'!$B$10:$O$58,COLUMN('Коммерческий отдел'!M:M)-1,FALSE)+VLOOKUP($B37,'Технический отдел'!$B$10:$O$58,COLUMN('Технический отдел'!M:M)-1,FALSE)+VLOOKUP($B37,'Управленческий блок'!$B$10:$O$76,COLUMN('Управленческий блок'!M:M)-1,FALSE)</f>
        <v>0</v>
      </c>
      <c r="N37" s="724">
        <f>VLOOKUP($B37,'Коммерческий отдел'!$B$10:$O$58,COLUMN('Коммерческий отдел'!N:N)-1,FALSE)+VLOOKUP($B37,'Технический отдел'!$B$10:$O$58,COLUMN('Технический отдел'!N:N)-1,FALSE)+VLOOKUP($B37,'Управленческий блок'!$B$10:$O$76,COLUMN('Управленческий блок'!N:N)-1,FALSE)</f>
        <v>0</v>
      </c>
      <c r="O37" s="725">
        <f>VLOOKUP($B37,'Коммерческий отдел'!$B$10:$O$58,COLUMN('Коммерческий отдел'!O:O)-1,FALSE)+VLOOKUP($B37,'Технический отдел'!$B$10:$O$58,COLUMN('Технический отдел'!O:O)-1,FALSE)+VLOOKUP($B37,'Управленческий блок'!$B$10:$O$76,COLUMN('Управленческий блок'!O:O)-1,FALSE)</f>
        <v>0</v>
      </c>
      <c r="P37" s="8"/>
    </row>
    <row r="38" spans="1:16" ht="12.75" outlineLevel="1">
      <c r="A38" s="557"/>
      <c r="B38" s="460" t="s">
        <v>559</v>
      </c>
      <c r="C38" s="473" t="str">
        <f>VLOOKUP(B38,Справочники!$B:$F,3,FALSE)</f>
        <v>Услуги по охране  </v>
      </c>
      <c r="D38" s="456">
        <f>VLOOKUP($B38,'Коммерческий отдел'!$B$10:$O$58,COLUMN('Коммерческий отдел'!D:D)-1,FALSE)+VLOOKUP($B38,'Технический отдел'!$B$10:$O$58,COLUMN('Технический отдел'!D:D)-1,FALSE)+VLOOKUP($B38,'Управленческий блок'!$B$10:$O$76,COLUMN('Управленческий блок'!D:D)-1,FALSE)</f>
        <v>0</v>
      </c>
      <c r="E38" s="724">
        <f>VLOOKUP($B38,'Коммерческий отдел'!$B$10:$O$58,COLUMN('Коммерческий отдел'!E:E)-1,FALSE)+VLOOKUP($B38,'Технический отдел'!$B$10:$O$58,COLUMN('Технический отдел'!E:E)-1,FALSE)+VLOOKUP($B38,'Управленческий блок'!$B$10:$O$76,COLUMN('Управленческий блок'!E:E)-1,FALSE)</f>
        <v>0</v>
      </c>
      <c r="F38" s="724">
        <f>VLOOKUP($B38,'Коммерческий отдел'!$B$10:$O$58,COLUMN('Коммерческий отдел'!F:F)-1,FALSE)+VLOOKUP($B38,'Технический отдел'!$B$10:$O$58,COLUMN('Технический отдел'!F:F)-1,FALSE)+VLOOKUP($B38,'Управленческий блок'!$B$10:$O$76,COLUMN('Управленческий блок'!F:F)-1,FALSE)</f>
        <v>0</v>
      </c>
      <c r="G38" s="724">
        <f>VLOOKUP($B38,'Коммерческий отдел'!$B$10:$O$58,COLUMN('Коммерческий отдел'!G:G)-1,FALSE)+VLOOKUP($B38,'Технический отдел'!$B$10:$O$58,COLUMN('Технический отдел'!G:G)-1,FALSE)+VLOOKUP($B38,'Управленческий блок'!$B$10:$O$76,COLUMN('Управленческий блок'!G:G)-1,FALSE)</f>
        <v>0</v>
      </c>
      <c r="H38" s="724">
        <f>VLOOKUP($B38,'Коммерческий отдел'!$B$10:$O$58,COLUMN('Коммерческий отдел'!H:H)-1,FALSE)+VLOOKUP($B38,'Технический отдел'!$B$10:$O$58,COLUMN('Технический отдел'!H:H)-1,FALSE)+VLOOKUP($B38,'Управленческий блок'!$B$10:$O$76,COLUMN('Управленческий блок'!H:H)-1,FALSE)</f>
        <v>0</v>
      </c>
      <c r="I38" s="724">
        <f>VLOOKUP($B38,'Коммерческий отдел'!$B$10:$O$58,COLUMN('Коммерческий отдел'!I:I)-1,FALSE)+VLOOKUP($B38,'Технический отдел'!$B$10:$O$58,COLUMN('Технический отдел'!I:I)-1,FALSE)+VLOOKUP($B38,'Управленческий блок'!$B$10:$O$76,COLUMN('Управленческий блок'!I:I)-1,FALSE)</f>
        <v>0</v>
      </c>
      <c r="J38" s="724">
        <f>VLOOKUP($B38,'Коммерческий отдел'!$B$10:$O$58,COLUMN('Коммерческий отдел'!J:J)-1,FALSE)+VLOOKUP($B38,'Технический отдел'!$B$10:$O$58,COLUMN('Технический отдел'!J:J)-1,FALSE)+VLOOKUP($B38,'Управленческий блок'!$B$10:$O$76,COLUMN('Управленческий блок'!J:J)-1,FALSE)</f>
        <v>0</v>
      </c>
      <c r="K38" s="724">
        <f>VLOOKUP($B38,'Коммерческий отдел'!$B$10:$O$58,COLUMN('Коммерческий отдел'!K:K)-1,FALSE)+VLOOKUP($B38,'Технический отдел'!$B$10:$O$58,COLUMN('Технический отдел'!K:K)-1,FALSE)+VLOOKUP($B38,'Управленческий блок'!$B$10:$O$76,COLUMN('Управленческий блок'!K:K)-1,FALSE)</f>
        <v>0</v>
      </c>
      <c r="L38" s="724">
        <f>VLOOKUP($B38,'Коммерческий отдел'!$B$10:$O$58,COLUMN('Коммерческий отдел'!L:L)-1,FALSE)+VLOOKUP($B38,'Технический отдел'!$B$10:$O$58,COLUMN('Технический отдел'!L:L)-1,FALSE)+VLOOKUP($B38,'Управленческий блок'!$B$10:$O$76,COLUMN('Управленческий блок'!L:L)-1,FALSE)</f>
        <v>0</v>
      </c>
      <c r="M38" s="724">
        <f>VLOOKUP($B38,'Коммерческий отдел'!$B$10:$O$58,COLUMN('Коммерческий отдел'!M:M)-1,FALSE)+VLOOKUP($B38,'Технический отдел'!$B$10:$O$58,COLUMN('Технический отдел'!M:M)-1,FALSE)+VLOOKUP($B38,'Управленческий блок'!$B$10:$O$76,COLUMN('Управленческий блок'!M:M)-1,FALSE)</f>
        <v>0</v>
      </c>
      <c r="N38" s="724">
        <f>VLOOKUP($B38,'Коммерческий отдел'!$B$10:$O$58,COLUMN('Коммерческий отдел'!N:N)-1,FALSE)+VLOOKUP($B38,'Технический отдел'!$B$10:$O$58,COLUMN('Технический отдел'!N:N)-1,FALSE)+VLOOKUP($B38,'Управленческий блок'!$B$10:$O$76,COLUMN('Управленческий блок'!N:N)-1,FALSE)</f>
        <v>0</v>
      </c>
      <c r="O38" s="725">
        <f>VLOOKUP($B38,'Коммерческий отдел'!$B$10:$O$58,COLUMN('Коммерческий отдел'!O:O)-1,FALSE)+VLOOKUP($B38,'Технический отдел'!$B$10:$O$58,COLUMN('Технический отдел'!O:O)-1,FALSE)+VLOOKUP($B38,'Управленческий блок'!$B$10:$O$76,COLUMN('Управленческий блок'!O:O)-1,FALSE)</f>
        <v>0</v>
      </c>
      <c r="P38" s="8"/>
    </row>
    <row r="39" spans="1:16" ht="25.5" outlineLevel="1">
      <c r="A39" s="557"/>
      <c r="B39" s="460" t="s">
        <v>560</v>
      </c>
      <c r="C39" s="473" t="str">
        <f>VLOOKUP(B39,Справочники!$B:$F,3,FALSE)</f>
        <v>Услуги по ремонту и обслуж. компьютерной и офисной техники</v>
      </c>
      <c r="D39" s="456">
        <f>VLOOKUP($B39,'Коммерческий отдел'!$B$10:$O$58,COLUMN('Коммерческий отдел'!D:D)-1,FALSE)+VLOOKUP($B39,'Технический отдел'!$B$10:$O$58,COLUMN('Технический отдел'!D:D)-1,FALSE)+VLOOKUP($B39,'Управленческий блок'!$B$10:$O$76,COLUMN('Управленческий блок'!D:D)-1,FALSE)</f>
        <v>0</v>
      </c>
      <c r="E39" s="724">
        <f>VLOOKUP($B39,'Коммерческий отдел'!$B$10:$O$58,COLUMN('Коммерческий отдел'!E:E)-1,FALSE)+VLOOKUP($B39,'Технический отдел'!$B$10:$O$58,COLUMN('Технический отдел'!E:E)-1,FALSE)+VLOOKUP($B39,'Управленческий блок'!$B$10:$O$76,COLUMN('Управленческий блок'!E:E)-1,FALSE)</f>
        <v>0</v>
      </c>
      <c r="F39" s="724">
        <f>VLOOKUP($B39,'Коммерческий отдел'!$B$10:$O$58,COLUMN('Коммерческий отдел'!F:F)-1,FALSE)+VLOOKUP($B39,'Технический отдел'!$B$10:$O$58,COLUMN('Технический отдел'!F:F)-1,FALSE)+VLOOKUP($B39,'Управленческий блок'!$B$10:$O$76,COLUMN('Управленческий блок'!F:F)-1,FALSE)</f>
        <v>0</v>
      </c>
      <c r="G39" s="724">
        <f>VLOOKUP($B39,'Коммерческий отдел'!$B$10:$O$58,COLUMN('Коммерческий отдел'!G:G)-1,FALSE)+VLOOKUP($B39,'Технический отдел'!$B$10:$O$58,COLUMN('Технический отдел'!G:G)-1,FALSE)+VLOOKUP($B39,'Управленческий блок'!$B$10:$O$76,COLUMN('Управленческий блок'!G:G)-1,FALSE)</f>
        <v>0</v>
      </c>
      <c r="H39" s="724">
        <f>VLOOKUP($B39,'Коммерческий отдел'!$B$10:$O$58,COLUMN('Коммерческий отдел'!H:H)-1,FALSE)+VLOOKUP($B39,'Технический отдел'!$B$10:$O$58,COLUMN('Технический отдел'!H:H)-1,FALSE)+VLOOKUP($B39,'Управленческий блок'!$B$10:$O$76,COLUMN('Управленческий блок'!H:H)-1,FALSE)</f>
        <v>0</v>
      </c>
      <c r="I39" s="724">
        <f>VLOOKUP($B39,'Коммерческий отдел'!$B$10:$O$58,COLUMN('Коммерческий отдел'!I:I)-1,FALSE)+VLOOKUP($B39,'Технический отдел'!$B$10:$O$58,COLUMN('Технический отдел'!I:I)-1,FALSE)+VLOOKUP($B39,'Управленческий блок'!$B$10:$O$76,COLUMN('Управленческий блок'!I:I)-1,FALSE)</f>
        <v>0</v>
      </c>
      <c r="J39" s="724">
        <f>VLOOKUP($B39,'Коммерческий отдел'!$B$10:$O$58,COLUMN('Коммерческий отдел'!J:J)-1,FALSE)+VLOOKUP($B39,'Технический отдел'!$B$10:$O$58,COLUMN('Технический отдел'!J:J)-1,FALSE)+VLOOKUP($B39,'Управленческий блок'!$B$10:$O$76,COLUMN('Управленческий блок'!J:J)-1,FALSE)</f>
        <v>0</v>
      </c>
      <c r="K39" s="724">
        <f>VLOOKUP($B39,'Коммерческий отдел'!$B$10:$O$58,COLUMN('Коммерческий отдел'!K:K)-1,FALSE)+VLOOKUP($B39,'Технический отдел'!$B$10:$O$58,COLUMN('Технический отдел'!K:K)-1,FALSE)+VLOOKUP($B39,'Управленческий блок'!$B$10:$O$76,COLUMN('Управленческий блок'!K:K)-1,FALSE)</f>
        <v>0</v>
      </c>
      <c r="L39" s="724">
        <f>VLOOKUP($B39,'Коммерческий отдел'!$B$10:$O$58,COLUMN('Коммерческий отдел'!L:L)-1,FALSE)+VLOOKUP($B39,'Технический отдел'!$B$10:$O$58,COLUMN('Технический отдел'!L:L)-1,FALSE)+VLOOKUP($B39,'Управленческий блок'!$B$10:$O$76,COLUMN('Управленческий блок'!L:L)-1,FALSE)</f>
        <v>0</v>
      </c>
      <c r="M39" s="724">
        <f>VLOOKUP($B39,'Коммерческий отдел'!$B$10:$O$58,COLUMN('Коммерческий отдел'!M:M)-1,FALSE)+VLOOKUP($B39,'Технический отдел'!$B$10:$O$58,COLUMN('Технический отдел'!M:M)-1,FALSE)+VLOOKUP($B39,'Управленческий блок'!$B$10:$O$76,COLUMN('Управленческий блок'!M:M)-1,FALSE)</f>
        <v>0</v>
      </c>
      <c r="N39" s="724">
        <f>VLOOKUP($B39,'Коммерческий отдел'!$B$10:$O$58,COLUMN('Коммерческий отдел'!N:N)-1,FALSE)+VLOOKUP($B39,'Технический отдел'!$B$10:$O$58,COLUMN('Технический отдел'!N:N)-1,FALSE)+VLOOKUP($B39,'Управленческий блок'!$B$10:$O$76,COLUMN('Управленческий блок'!N:N)-1,FALSE)</f>
        <v>0</v>
      </c>
      <c r="O39" s="725">
        <f>VLOOKUP($B39,'Коммерческий отдел'!$B$10:$O$58,COLUMN('Коммерческий отдел'!O:O)-1,FALSE)+VLOOKUP($B39,'Технический отдел'!$B$10:$O$58,COLUMN('Технический отдел'!O:O)-1,FALSE)+VLOOKUP($B39,'Управленческий блок'!$B$10:$O$76,COLUMN('Управленческий блок'!O:O)-1,FALSE)</f>
        <v>0</v>
      </c>
      <c r="P39" s="8"/>
    </row>
    <row r="40" spans="1:16" s="1" customFormat="1" ht="12.75" outlineLevel="1">
      <c r="A40" s="674"/>
      <c r="B40" s="731" t="s">
        <v>561</v>
      </c>
      <c r="C40" s="732" t="str">
        <f>VLOOKUP(B40,Справочники!$B:$F,3,FALSE)</f>
        <v>Услуги связи</v>
      </c>
      <c r="D40" s="733">
        <f>SUM(D41:D43)</f>
        <v>3455</v>
      </c>
      <c r="E40" s="470">
        <f aca="true" t="shared" si="6" ref="E40:O40">SUM(E41:E43)</f>
        <v>3455</v>
      </c>
      <c r="F40" s="470">
        <f t="shared" si="6"/>
        <v>3455</v>
      </c>
      <c r="G40" s="470">
        <f t="shared" si="6"/>
        <v>3455</v>
      </c>
      <c r="H40" s="470">
        <f t="shared" si="6"/>
        <v>30600</v>
      </c>
      <c r="I40" s="470">
        <f t="shared" si="6"/>
        <v>33160</v>
      </c>
      <c r="J40" s="470">
        <f t="shared" si="6"/>
        <v>35976</v>
      </c>
      <c r="K40" s="470">
        <f t="shared" si="6"/>
        <v>39073.600000000006</v>
      </c>
      <c r="L40" s="470">
        <f t="shared" si="6"/>
        <v>0</v>
      </c>
      <c r="M40" s="470">
        <f t="shared" si="6"/>
        <v>0</v>
      </c>
      <c r="N40" s="470">
        <f t="shared" si="6"/>
        <v>0</v>
      </c>
      <c r="O40" s="734">
        <f t="shared" si="6"/>
        <v>0</v>
      </c>
      <c r="P40" s="45"/>
    </row>
    <row r="41" spans="1:16" ht="12.75" outlineLevel="2">
      <c r="A41" s="557"/>
      <c r="B41" s="460" t="s">
        <v>562</v>
      </c>
      <c r="C41" s="730" t="str">
        <f>VLOOKUP(B41,Справочники!$B:$F,3,FALSE)</f>
        <v>связь мобильная</v>
      </c>
      <c r="D41" s="456">
        <f>VLOOKUP($B41,'Коммерческий отдел'!$B$10:$O$58,COLUMN('Коммерческий отдел'!D:D)-1,FALSE)+VLOOKUP($B41,'Технический отдел'!$B$10:$O$58,COLUMN('Технический отдел'!D:D)-1,FALSE)+VLOOKUP($B41,'Управленческий блок'!$B$10:$O$76,COLUMN('Управленческий блок'!D:D)-1,FALSE)</f>
        <v>0</v>
      </c>
      <c r="E41" s="724">
        <f>VLOOKUP($B41,'Коммерческий отдел'!$B$10:$O$58,COLUMN('Коммерческий отдел'!E:E)-1,FALSE)+VLOOKUP($B41,'Технический отдел'!$B$10:$O$58,COLUMN('Технический отдел'!E:E)-1,FALSE)+VLOOKUP($B41,'Управленческий блок'!$B$10:$O$76,COLUMN('Управленческий блок'!E:E)-1,FALSE)</f>
        <v>0</v>
      </c>
      <c r="F41" s="724">
        <f>VLOOKUP($B41,'Коммерческий отдел'!$B$10:$O$58,COLUMN('Коммерческий отдел'!F:F)-1,FALSE)+VLOOKUP($B41,'Технический отдел'!$B$10:$O$58,COLUMN('Технический отдел'!F:F)-1,FALSE)+VLOOKUP($B41,'Управленческий блок'!$B$10:$O$76,COLUMN('Управленческий блок'!F:F)-1,FALSE)</f>
        <v>0</v>
      </c>
      <c r="G41" s="724">
        <f>VLOOKUP($B41,'Коммерческий отдел'!$B$10:$O$58,COLUMN('Коммерческий отдел'!G:G)-1,FALSE)+VLOOKUP($B41,'Технический отдел'!$B$10:$O$58,COLUMN('Технический отдел'!G:G)-1,FALSE)+VLOOKUP($B41,'Управленческий блок'!$B$10:$O$76,COLUMN('Управленческий блок'!G:G)-1,FALSE)</f>
        <v>0</v>
      </c>
      <c r="H41" s="724">
        <f>VLOOKUP($B41,'Коммерческий отдел'!$B$10:$O$58,COLUMN('Коммерческий отдел'!H:H)-1,FALSE)+VLOOKUP($B41,'Технический отдел'!$B$10:$O$58,COLUMN('Технический отдел'!H:H)-1,FALSE)+VLOOKUP($B41,'Управленческий блок'!$B$10:$O$76,COLUMN('Управленческий блок'!H:H)-1,FALSE)</f>
        <v>5000</v>
      </c>
      <c r="I41" s="724">
        <f>VLOOKUP($B41,'Коммерческий отдел'!$B$10:$O$58,COLUMN('Коммерческий отдел'!I:I)-1,FALSE)+VLOOKUP($B41,'Технический отдел'!$B$10:$O$58,COLUMN('Технический отдел'!I:I)-1,FALSE)+VLOOKUP($B41,'Управленческий блок'!$B$10:$O$76,COLUMN('Управленческий блок'!I:I)-1,FALSE)</f>
        <v>5000</v>
      </c>
      <c r="J41" s="724">
        <f>VLOOKUP($B41,'Коммерческий отдел'!$B$10:$O$58,COLUMN('Коммерческий отдел'!J:J)-1,FALSE)+VLOOKUP($B41,'Технический отдел'!$B$10:$O$58,COLUMN('Технический отдел'!J:J)-1,FALSE)+VLOOKUP($B41,'Управленческий блок'!$B$10:$O$76,COLUMN('Управленческий блок'!J:J)-1,FALSE)</f>
        <v>5000</v>
      </c>
      <c r="K41" s="724">
        <f>VLOOKUP($B41,'Коммерческий отдел'!$B$10:$O$58,COLUMN('Коммерческий отдел'!K:K)-1,FALSE)+VLOOKUP($B41,'Технический отдел'!$B$10:$O$58,COLUMN('Технический отдел'!K:K)-1,FALSE)+VLOOKUP($B41,'Управленческий блок'!$B$10:$O$76,COLUMN('Управленческий блок'!K:K)-1,FALSE)</f>
        <v>5000</v>
      </c>
      <c r="L41" s="724">
        <f>VLOOKUP($B41,'Коммерческий отдел'!$B$10:$O$58,COLUMN('Коммерческий отдел'!L:L)-1,FALSE)+VLOOKUP($B41,'Технический отдел'!$B$10:$O$58,COLUMN('Технический отдел'!L:L)-1,FALSE)+VLOOKUP($B41,'Управленческий блок'!$B$10:$O$76,COLUMN('Управленческий блок'!L:L)-1,FALSE)</f>
        <v>0</v>
      </c>
      <c r="M41" s="724">
        <f>VLOOKUP($B41,'Коммерческий отдел'!$B$10:$O$58,COLUMN('Коммерческий отдел'!M:M)-1,FALSE)+VLOOKUP($B41,'Технический отдел'!$B$10:$O$58,COLUMN('Технический отдел'!M:M)-1,FALSE)+VLOOKUP($B41,'Управленческий блок'!$B$10:$O$76,COLUMN('Управленческий блок'!M:M)-1,FALSE)</f>
        <v>0</v>
      </c>
      <c r="N41" s="724">
        <f>VLOOKUP($B41,'Коммерческий отдел'!$B$10:$O$58,COLUMN('Коммерческий отдел'!N:N)-1,FALSE)+VLOOKUP($B41,'Технический отдел'!$B$10:$O$58,COLUMN('Технический отдел'!N:N)-1,FALSE)+VLOOKUP($B41,'Управленческий блок'!$B$10:$O$76,COLUMN('Управленческий блок'!N:N)-1,FALSE)</f>
        <v>0</v>
      </c>
      <c r="O41" s="725">
        <f>VLOOKUP($B41,'Коммерческий отдел'!$B$10:$O$58,COLUMN('Коммерческий отдел'!O:O)-1,FALSE)+VLOOKUP($B41,'Технический отдел'!$B$10:$O$58,COLUMN('Технический отдел'!O:O)-1,FALSE)+VLOOKUP($B41,'Управленческий блок'!$B$10:$O$76,COLUMN('Управленческий блок'!O:O)-1,FALSE)</f>
        <v>0</v>
      </c>
      <c r="P41" s="8"/>
    </row>
    <row r="42" spans="1:16" ht="12.75" outlineLevel="2">
      <c r="A42" s="557"/>
      <c r="B42" s="460" t="s">
        <v>563</v>
      </c>
      <c r="C42" s="730" t="str">
        <f>VLOOKUP(B42,Справочники!$B:$F,3,FALSE)</f>
        <v>связь стационарная</v>
      </c>
      <c r="D42" s="456">
        <f>VLOOKUP($B42,'Коммерческий отдел'!$B$10:$O$58,COLUMN('Коммерческий отдел'!D:D)-1,FALSE)+VLOOKUP($B42,'Технический отдел'!$B$10:$O$58,COLUMN('Технический отдел'!D:D)-1,FALSE)+VLOOKUP($B42,'Управленческий блок'!$B$10:$O$76,COLUMN('Управленческий блок'!D:D)-1,FALSE)</f>
        <v>1305</v>
      </c>
      <c r="E42" s="724">
        <f>VLOOKUP($B42,'Коммерческий отдел'!$B$10:$O$58,COLUMN('Коммерческий отдел'!E:E)-1,FALSE)+VLOOKUP($B42,'Технический отдел'!$B$10:$O$58,COLUMN('Технический отдел'!E:E)-1,FALSE)+VLOOKUP($B42,'Управленческий блок'!$B$10:$O$76,COLUMN('Управленческий блок'!E:E)-1,FALSE)</f>
        <v>1305</v>
      </c>
      <c r="F42" s="724">
        <f>VLOOKUP($B42,'Коммерческий отдел'!$B$10:$O$58,COLUMN('Коммерческий отдел'!F:F)-1,FALSE)+VLOOKUP($B42,'Технический отдел'!$B$10:$O$58,COLUMN('Технический отдел'!F:F)-1,FALSE)+VLOOKUP($B42,'Управленческий блок'!$B$10:$O$76,COLUMN('Управленческий блок'!F:F)-1,FALSE)</f>
        <v>1305</v>
      </c>
      <c r="G42" s="724">
        <f>VLOOKUP($B42,'Коммерческий отдел'!$B$10:$O$58,COLUMN('Коммерческий отдел'!G:G)-1,FALSE)+VLOOKUP($B42,'Технический отдел'!$B$10:$O$58,COLUMN('Технический отдел'!G:G)-1,FALSE)+VLOOKUP($B42,'Управленческий блок'!$B$10:$O$76,COLUMN('Управленческий блок'!G:G)-1,FALSE)</f>
        <v>1305</v>
      </c>
      <c r="H42" s="724">
        <f>VLOOKUP($B42,'Коммерческий отдел'!$B$10:$O$58,COLUMN('Коммерческий отдел'!H:H)-1,FALSE)+VLOOKUP($B42,'Технический отдел'!$B$10:$O$58,COLUMN('Технический отдел'!H:H)-1,FALSE)+VLOOKUP($B42,'Управленческий блок'!$B$10:$O$76,COLUMN('Управленческий блок'!H:H)-1,FALSE)</f>
        <v>10450</v>
      </c>
      <c r="I42" s="724">
        <f>VLOOKUP($B42,'Коммерческий отдел'!$B$10:$O$58,COLUMN('Коммерческий отдел'!I:I)-1,FALSE)+VLOOKUP($B42,'Технический отдел'!$B$10:$O$58,COLUMN('Технический отдел'!I:I)-1,FALSE)+VLOOKUP($B42,'Управленческий блок'!$B$10:$O$76,COLUMN('Управленческий блок'!I:I)-1,FALSE)</f>
        <v>11495</v>
      </c>
      <c r="J42" s="724">
        <f>VLOOKUP($B42,'Коммерческий отдел'!$B$10:$O$58,COLUMN('Коммерческий отдел'!J:J)-1,FALSE)+VLOOKUP($B42,'Технический отдел'!$B$10:$O$58,COLUMN('Технический отдел'!J:J)-1,FALSE)+VLOOKUP($B42,'Управленческий блок'!$B$10:$O$76,COLUMN('Управленческий блок'!J:J)-1,FALSE)</f>
        <v>12644.5</v>
      </c>
      <c r="K42" s="724">
        <f>VLOOKUP($B42,'Коммерческий отдел'!$B$10:$O$58,COLUMN('Коммерческий отдел'!K:K)-1,FALSE)+VLOOKUP($B42,'Технический отдел'!$B$10:$O$58,COLUMN('Технический отдел'!K:K)-1,FALSE)+VLOOKUP($B42,'Управленческий блок'!$B$10:$O$76,COLUMN('Управленческий блок'!K:K)-1,FALSE)</f>
        <v>13908.95</v>
      </c>
      <c r="L42" s="724">
        <f>VLOOKUP($B42,'Коммерческий отдел'!$B$10:$O$58,COLUMN('Коммерческий отдел'!L:L)-1,FALSE)+VLOOKUP($B42,'Технический отдел'!$B$10:$O$58,COLUMN('Технический отдел'!L:L)-1,FALSE)+VLOOKUP($B42,'Управленческий блок'!$B$10:$O$76,COLUMN('Управленческий блок'!L:L)-1,FALSE)</f>
        <v>0</v>
      </c>
      <c r="M42" s="724">
        <f>VLOOKUP($B42,'Коммерческий отдел'!$B$10:$O$58,COLUMN('Коммерческий отдел'!M:M)-1,FALSE)+VLOOKUP($B42,'Технический отдел'!$B$10:$O$58,COLUMN('Технический отдел'!M:M)-1,FALSE)+VLOOKUP($B42,'Управленческий блок'!$B$10:$O$76,COLUMN('Управленческий блок'!M:M)-1,FALSE)</f>
        <v>0</v>
      </c>
      <c r="N42" s="724">
        <f>VLOOKUP($B42,'Коммерческий отдел'!$B$10:$O$58,COLUMN('Коммерческий отдел'!N:N)-1,FALSE)+VLOOKUP($B42,'Технический отдел'!$B$10:$O$58,COLUMN('Технический отдел'!N:N)-1,FALSE)+VLOOKUP($B42,'Управленческий блок'!$B$10:$O$76,COLUMN('Управленческий блок'!N:N)-1,FALSE)</f>
        <v>0</v>
      </c>
      <c r="O42" s="725">
        <f>VLOOKUP($B42,'Коммерческий отдел'!$B$10:$O$58,COLUMN('Коммерческий отдел'!O:O)-1,FALSE)+VLOOKUP($B42,'Технический отдел'!$B$10:$O$58,COLUMN('Технический отдел'!O:O)-1,FALSE)+VLOOKUP($B42,'Управленческий блок'!$B$10:$O$76,COLUMN('Управленческий блок'!O:O)-1,FALSE)</f>
        <v>0</v>
      </c>
      <c r="P42" s="8"/>
    </row>
    <row r="43" spans="1:16" ht="12.75" outlineLevel="2">
      <c r="A43" s="557"/>
      <c r="B43" s="460" t="s">
        <v>564</v>
      </c>
      <c r="C43" s="730" t="str">
        <f>VLOOKUP(B43,Справочники!$B:$F,3,FALSE)</f>
        <v>интернет</v>
      </c>
      <c r="D43" s="456">
        <f>VLOOKUP($B43,'Коммерческий отдел'!$B$10:$O$58,COLUMN('Коммерческий отдел'!D:D)-1,FALSE)+VLOOKUP($B43,'Технический отдел'!$B$10:$O$58,COLUMN('Технический отдел'!D:D)-1,FALSE)+VLOOKUP($B43,'Управленческий блок'!$B$10:$O$76,COLUMN('Управленческий блок'!D:D)-1,FALSE)</f>
        <v>2150</v>
      </c>
      <c r="E43" s="724">
        <f>VLOOKUP($B43,'Коммерческий отдел'!$B$10:$O$58,COLUMN('Коммерческий отдел'!E:E)-1,FALSE)+VLOOKUP($B43,'Технический отдел'!$B$10:$O$58,COLUMN('Технический отдел'!E:E)-1,FALSE)+VLOOKUP($B43,'Управленческий блок'!$B$10:$O$76,COLUMN('Управленческий блок'!E:E)-1,FALSE)</f>
        <v>2150</v>
      </c>
      <c r="F43" s="724">
        <f>VLOOKUP($B43,'Коммерческий отдел'!$B$10:$O$58,COLUMN('Коммерческий отдел'!F:F)-1,FALSE)+VLOOKUP($B43,'Технический отдел'!$B$10:$O$58,COLUMN('Технический отдел'!F:F)-1,FALSE)+VLOOKUP($B43,'Управленческий блок'!$B$10:$O$76,COLUMN('Управленческий блок'!F:F)-1,FALSE)</f>
        <v>2150</v>
      </c>
      <c r="G43" s="724">
        <f>VLOOKUP($B43,'Коммерческий отдел'!$B$10:$O$58,COLUMN('Коммерческий отдел'!G:G)-1,FALSE)+VLOOKUP($B43,'Технический отдел'!$B$10:$O$58,COLUMN('Технический отдел'!G:G)-1,FALSE)+VLOOKUP($B43,'Управленческий блок'!$B$10:$O$76,COLUMN('Управленческий блок'!G:G)-1,FALSE)</f>
        <v>2150</v>
      </c>
      <c r="H43" s="724">
        <f>VLOOKUP($B43,'Коммерческий отдел'!$B$10:$O$58,COLUMN('Коммерческий отдел'!H:H)-1,FALSE)+VLOOKUP($B43,'Технический отдел'!$B$10:$O$58,COLUMN('Технический отдел'!H:H)-1,FALSE)+VLOOKUP($B43,'Управленческий блок'!$B$10:$O$76,COLUMN('Управленческий блок'!H:H)-1,FALSE)</f>
        <v>15150</v>
      </c>
      <c r="I43" s="724">
        <f>VLOOKUP($B43,'Коммерческий отдел'!$B$10:$O$58,COLUMN('Коммерческий отдел'!I:I)-1,FALSE)+VLOOKUP($B43,'Технический отдел'!$B$10:$O$58,COLUMN('Технический отдел'!I:I)-1,FALSE)+VLOOKUP($B43,'Управленческий блок'!$B$10:$O$76,COLUMN('Управленческий блок'!I:I)-1,FALSE)</f>
        <v>16665</v>
      </c>
      <c r="J43" s="724">
        <f>VLOOKUP($B43,'Коммерческий отдел'!$B$10:$O$58,COLUMN('Коммерческий отдел'!J:J)-1,FALSE)+VLOOKUP($B43,'Технический отдел'!$B$10:$O$58,COLUMN('Технический отдел'!J:J)-1,FALSE)+VLOOKUP($B43,'Управленческий блок'!$B$10:$O$76,COLUMN('Управленческий блок'!J:J)-1,FALSE)</f>
        <v>18331.5</v>
      </c>
      <c r="K43" s="724">
        <f>VLOOKUP($B43,'Коммерческий отдел'!$B$10:$O$58,COLUMN('Коммерческий отдел'!K:K)-1,FALSE)+VLOOKUP($B43,'Технический отдел'!$B$10:$O$58,COLUMN('Технический отдел'!K:K)-1,FALSE)+VLOOKUP($B43,'Управленческий блок'!$B$10:$O$76,COLUMN('Управленческий блок'!K:K)-1,FALSE)</f>
        <v>20164.65</v>
      </c>
      <c r="L43" s="724">
        <f>VLOOKUP($B43,'Коммерческий отдел'!$B$10:$O$58,COLUMN('Коммерческий отдел'!L:L)-1,FALSE)+VLOOKUP($B43,'Технический отдел'!$B$10:$O$58,COLUMN('Технический отдел'!L:L)-1,FALSE)+VLOOKUP($B43,'Управленческий блок'!$B$10:$O$76,COLUMN('Управленческий блок'!L:L)-1,FALSE)</f>
        <v>0</v>
      </c>
      <c r="M43" s="724">
        <f>VLOOKUP($B43,'Коммерческий отдел'!$B$10:$O$58,COLUMN('Коммерческий отдел'!M:M)-1,FALSE)+VLOOKUP($B43,'Технический отдел'!$B$10:$O$58,COLUMN('Технический отдел'!M:M)-1,FALSE)+VLOOKUP($B43,'Управленческий блок'!$B$10:$O$76,COLUMN('Управленческий блок'!M:M)-1,FALSE)</f>
        <v>0</v>
      </c>
      <c r="N43" s="724">
        <f>VLOOKUP($B43,'Коммерческий отдел'!$B$10:$O$58,COLUMN('Коммерческий отдел'!N:N)-1,FALSE)+VLOOKUP($B43,'Технический отдел'!$B$10:$O$58,COLUMN('Технический отдел'!N:N)-1,FALSE)+VLOOKUP($B43,'Управленческий блок'!$B$10:$O$76,COLUMN('Управленческий блок'!N:N)-1,FALSE)</f>
        <v>0</v>
      </c>
      <c r="O43" s="725">
        <f>VLOOKUP($B43,'Коммерческий отдел'!$B$10:$O$58,COLUMN('Коммерческий отдел'!O:O)-1,FALSE)+VLOOKUP($B43,'Технический отдел'!$B$10:$O$58,COLUMN('Технический отдел'!O:O)-1,FALSE)+VLOOKUP($B43,'Управленческий блок'!$B$10:$O$76,COLUMN('Управленческий блок'!O:O)-1,FALSE)</f>
        <v>0</v>
      </c>
      <c r="P43" s="8"/>
    </row>
    <row r="44" spans="1:16" ht="12.75" outlineLevel="1">
      <c r="A44" s="557"/>
      <c r="B44" s="460" t="s">
        <v>565</v>
      </c>
      <c r="C44" s="473" t="str">
        <f>VLOOKUP(B44,Справочники!$B:$F,3,FALSE)</f>
        <v>Коммунальные услуги</v>
      </c>
      <c r="D44" s="456">
        <f>VLOOKUP($B44,'Коммерческий отдел'!$B$10:$O$58,COLUMN('Коммерческий отдел'!D:D)-1,FALSE)+VLOOKUP($B44,'Технический отдел'!$B$10:$O$58,COLUMN('Технический отдел'!D:D)-1,FALSE)+VLOOKUP($B44,'Управленческий блок'!$B$10:$O$76,COLUMN('Управленческий блок'!D:D)-1,FALSE)</f>
        <v>0</v>
      </c>
      <c r="E44" s="724">
        <f>VLOOKUP($B44,'Коммерческий отдел'!$B$10:$O$58,COLUMN('Коммерческий отдел'!E:E)-1,FALSE)+VLOOKUP($B44,'Технический отдел'!$B$10:$O$58,COLUMN('Технический отдел'!E:E)-1,FALSE)+VLOOKUP($B44,'Управленческий блок'!$B$10:$O$76,COLUMN('Управленческий блок'!E:E)-1,FALSE)</f>
        <v>0</v>
      </c>
      <c r="F44" s="724">
        <f>VLOOKUP($B44,'Коммерческий отдел'!$B$10:$O$58,COLUMN('Коммерческий отдел'!F:F)-1,FALSE)+VLOOKUP($B44,'Технический отдел'!$B$10:$O$58,COLUMN('Технический отдел'!F:F)-1,FALSE)+VLOOKUP($B44,'Управленческий блок'!$B$10:$O$76,COLUMN('Управленческий блок'!F:F)-1,FALSE)</f>
        <v>0</v>
      </c>
      <c r="G44" s="724">
        <f>VLOOKUP($B44,'Коммерческий отдел'!$B$10:$O$58,COLUMN('Коммерческий отдел'!G:G)-1,FALSE)+VLOOKUP($B44,'Технический отдел'!$B$10:$O$58,COLUMN('Технический отдел'!G:G)-1,FALSE)+VLOOKUP($B44,'Управленческий блок'!$B$10:$O$76,COLUMN('Управленческий блок'!G:G)-1,FALSE)</f>
        <v>0</v>
      </c>
      <c r="H44" s="724">
        <f>VLOOKUP($B44,'Коммерческий отдел'!$B$10:$O$58,COLUMN('Коммерческий отдел'!H:H)-1,FALSE)+VLOOKUP($B44,'Технический отдел'!$B$10:$O$58,COLUMN('Технический отдел'!H:H)-1,FALSE)+VLOOKUP($B44,'Управленческий блок'!$B$10:$O$76,COLUMN('Управленческий блок'!H:H)-1,FALSE)</f>
        <v>0</v>
      </c>
      <c r="I44" s="724">
        <f>VLOOKUP($B44,'Коммерческий отдел'!$B$10:$O$58,COLUMN('Коммерческий отдел'!I:I)-1,FALSE)+VLOOKUP($B44,'Технический отдел'!$B$10:$O$58,COLUMN('Технический отдел'!I:I)-1,FALSE)+VLOOKUP($B44,'Управленческий блок'!$B$10:$O$76,COLUMN('Управленческий блок'!I:I)-1,FALSE)</f>
        <v>0</v>
      </c>
      <c r="J44" s="724">
        <f>VLOOKUP($B44,'Коммерческий отдел'!$B$10:$O$58,COLUMN('Коммерческий отдел'!J:J)-1,FALSE)+VLOOKUP($B44,'Технический отдел'!$B$10:$O$58,COLUMN('Технический отдел'!J:J)-1,FALSE)+VLOOKUP($B44,'Управленческий блок'!$B$10:$O$76,COLUMN('Управленческий блок'!J:J)-1,FALSE)</f>
        <v>0</v>
      </c>
      <c r="K44" s="724">
        <f>VLOOKUP($B44,'Коммерческий отдел'!$B$10:$O$58,COLUMN('Коммерческий отдел'!K:K)-1,FALSE)+VLOOKUP($B44,'Технический отдел'!$B$10:$O$58,COLUMN('Технический отдел'!K:K)-1,FALSE)+VLOOKUP($B44,'Управленческий блок'!$B$10:$O$76,COLUMN('Управленческий блок'!K:K)-1,FALSE)</f>
        <v>0</v>
      </c>
      <c r="L44" s="724">
        <f>VLOOKUP($B44,'Коммерческий отдел'!$B$10:$O$58,COLUMN('Коммерческий отдел'!L:L)-1,FALSE)+VLOOKUP($B44,'Технический отдел'!$B$10:$O$58,COLUMN('Технический отдел'!L:L)-1,FALSE)+VLOOKUP($B44,'Управленческий блок'!$B$10:$O$76,COLUMN('Управленческий блок'!L:L)-1,FALSE)</f>
        <v>0</v>
      </c>
      <c r="M44" s="724">
        <f>VLOOKUP($B44,'Коммерческий отдел'!$B$10:$O$58,COLUMN('Коммерческий отдел'!M:M)-1,FALSE)+VLOOKUP($B44,'Технический отдел'!$B$10:$O$58,COLUMN('Технический отдел'!M:M)-1,FALSE)+VLOOKUP($B44,'Управленческий блок'!$B$10:$O$76,COLUMN('Управленческий блок'!M:M)-1,FALSE)</f>
        <v>0</v>
      </c>
      <c r="N44" s="724">
        <f>VLOOKUP($B44,'Коммерческий отдел'!$B$10:$O$58,COLUMN('Коммерческий отдел'!N:N)-1,FALSE)+VLOOKUP($B44,'Технический отдел'!$B$10:$O$58,COLUMN('Технический отдел'!N:N)-1,FALSE)+VLOOKUP($B44,'Управленческий блок'!$B$10:$O$76,COLUMN('Управленческий блок'!N:N)-1,FALSE)</f>
        <v>0</v>
      </c>
      <c r="O44" s="725">
        <f>VLOOKUP($B44,'Коммерческий отдел'!$B$10:$O$58,COLUMN('Коммерческий отдел'!O:O)-1,FALSE)+VLOOKUP($B44,'Технический отдел'!$B$10:$O$58,COLUMN('Технический отдел'!O:O)-1,FALSE)+VLOOKUP($B44,'Управленческий блок'!$B$10:$O$76,COLUMN('Управленческий блок'!O:O)-1,FALSE)</f>
        <v>0</v>
      </c>
      <c r="P44" s="8"/>
    </row>
    <row r="45" spans="1:16" ht="12.75" outlineLevel="1">
      <c r="A45" s="557"/>
      <c r="B45" s="460" t="s">
        <v>566</v>
      </c>
      <c r="C45" s="473" t="str">
        <f>VLOOKUP(B45,Справочники!$B:$F,3,FALSE)</f>
        <v>Аудиторские услуги</v>
      </c>
      <c r="D45" s="456">
        <f>VLOOKUP($B45,'Коммерческий отдел'!$B$10:$O$58,COLUMN('Коммерческий отдел'!D:D)-1,FALSE)+VLOOKUP($B45,'Технический отдел'!$B$10:$O$58,COLUMN('Технический отдел'!D:D)-1,FALSE)+VLOOKUP($B45,'Управленческий блок'!$B$10:$O$76,COLUMN('Управленческий блок'!D:D)-1,FALSE)</f>
        <v>1590</v>
      </c>
      <c r="E45" s="724">
        <f>VLOOKUP($B45,'Коммерческий отдел'!$B$10:$O$58,COLUMN('Коммерческий отдел'!E:E)-1,FALSE)+VLOOKUP($B45,'Технический отдел'!$B$10:$O$58,COLUMN('Технический отдел'!E:E)-1,FALSE)+VLOOKUP($B45,'Управленческий блок'!$B$10:$O$76,COLUMN('Управленческий блок'!E:E)-1,FALSE)</f>
        <v>1590</v>
      </c>
      <c r="F45" s="724">
        <f>VLOOKUP($B45,'Коммерческий отдел'!$B$10:$O$58,COLUMN('Коммерческий отдел'!F:F)-1,FALSE)+VLOOKUP($B45,'Технический отдел'!$B$10:$O$58,COLUMN('Технический отдел'!F:F)-1,FALSE)+VLOOKUP($B45,'Управленческий блок'!$B$10:$O$76,COLUMN('Управленческий блок'!F:F)-1,FALSE)</f>
        <v>1590</v>
      </c>
      <c r="G45" s="724">
        <f>VLOOKUP($B45,'Коммерческий отдел'!$B$10:$O$58,COLUMN('Коммерческий отдел'!G:G)-1,FALSE)+VLOOKUP($B45,'Технический отдел'!$B$10:$O$58,COLUMN('Технический отдел'!G:G)-1,FALSE)+VLOOKUP($B45,'Управленческий блок'!$B$10:$O$76,COLUMN('Управленческий блок'!G:G)-1,FALSE)</f>
        <v>1590</v>
      </c>
      <c r="H45" s="724">
        <f>VLOOKUP($B45,'Коммерческий отдел'!$B$10:$O$58,COLUMN('Коммерческий отдел'!H:H)-1,FALSE)+VLOOKUP($B45,'Технический отдел'!$B$10:$O$58,COLUMN('Технический отдел'!H:H)-1,FALSE)+VLOOKUP($B45,'Управленческий блок'!$B$10:$O$76,COLUMN('Управленческий блок'!H:H)-1,FALSE)</f>
        <v>7000</v>
      </c>
      <c r="I45" s="724">
        <f>VLOOKUP($B45,'Коммерческий отдел'!$B$10:$O$58,COLUMN('Коммерческий отдел'!I:I)-1,FALSE)+VLOOKUP($B45,'Технический отдел'!$B$10:$O$58,COLUMN('Технический отдел'!I:I)-1,FALSE)+VLOOKUP($B45,'Управленческий блок'!$B$10:$O$76,COLUMN('Управленческий блок'!I:I)-1,FALSE)</f>
        <v>7700</v>
      </c>
      <c r="J45" s="724">
        <f>VLOOKUP($B45,'Коммерческий отдел'!$B$10:$O$58,COLUMN('Коммерческий отдел'!J:J)-1,FALSE)+VLOOKUP($B45,'Технический отдел'!$B$10:$O$58,COLUMN('Технический отдел'!J:J)-1,FALSE)+VLOOKUP($B45,'Управленческий блок'!$B$10:$O$76,COLUMN('Управленческий блок'!J:J)-1,FALSE)</f>
        <v>8470</v>
      </c>
      <c r="K45" s="724">
        <f>VLOOKUP($B45,'Коммерческий отдел'!$B$10:$O$58,COLUMN('Коммерческий отдел'!K:K)-1,FALSE)+VLOOKUP($B45,'Технический отдел'!$B$10:$O$58,COLUMN('Технический отдел'!K:K)-1,FALSE)+VLOOKUP($B45,'Управленческий блок'!$B$10:$O$76,COLUMN('Управленческий блок'!K:K)-1,FALSE)</f>
        <v>9300</v>
      </c>
      <c r="L45" s="724">
        <f>VLOOKUP($B45,'Коммерческий отдел'!$B$10:$O$58,COLUMN('Коммерческий отдел'!L:L)-1,FALSE)+VLOOKUP($B45,'Технический отдел'!$B$10:$O$58,COLUMN('Технический отдел'!L:L)-1,FALSE)+VLOOKUP($B45,'Управленческий блок'!$B$10:$O$76,COLUMN('Управленческий блок'!L:L)-1,FALSE)</f>
        <v>0</v>
      </c>
      <c r="M45" s="724">
        <f>VLOOKUP($B45,'Коммерческий отдел'!$B$10:$O$58,COLUMN('Коммерческий отдел'!M:M)-1,FALSE)+VLOOKUP($B45,'Технический отдел'!$B$10:$O$58,COLUMN('Технический отдел'!M:M)-1,FALSE)+VLOOKUP($B45,'Управленческий блок'!$B$10:$O$76,COLUMN('Управленческий блок'!M:M)-1,FALSE)</f>
        <v>0</v>
      </c>
      <c r="N45" s="724">
        <f>VLOOKUP($B45,'Коммерческий отдел'!$B$10:$O$58,COLUMN('Коммерческий отдел'!N:N)-1,FALSE)+VLOOKUP($B45,'Технический отдел'!$B$10:$O$58,COLUMN('Технический отдел'!N:N)-1,FALSE)+VLOOKUP($B45,'Управленческий блок'!$B$10:$O$76,COLUMN('Управленческий блок'!N:N)-1,FALSE)</f>
        <v>0</v>
      </c>
      <c r="O45" s="725">
        <f>VLOOKUP($B45,'Коммерческий отдел'!$B$10:$O$58,COLUMN('Коммерческий отдел'!O:O)-1,FALSE)+VLOOKUP($B45,'Технический отдел'!$B$10:$O$58,COLUMN('Технический отдел'!O:O)-1,FALSE)+VLOOKUP($B45,'Управленческий блок'!$B$10:$O$76,COLUMN('Управленческий блок'!O:O)-1,FALSE)</f>
        <v>0</v>
      </c>
      <c r="P45" s="8"/>
    </row>
    <row r="46" spans="1:16" ht="12.75" outlineLevel="1">
      <c r="A46" s="557"/>
      <c r="B46" s="460" t="s">
        <v>567</v>
      </c>
      <c r="C46" s="473" t="str">
        <f>VLOOKUP(B46,Справочники!$B:$F,3,FALSE)</f>
        <v>Юридические услуги</v>
      </c>
      <c r="D46" s="456">
        <f>VLOOKUP($B46,'Коммерческий отдел'!$B$10:$O$58,COLUMN('Коммерческий отдел'!D:D)-1,FALSE)+VLOOKUP($B46,'Технический отдел'!$B$10:$O$58,COLUMN('Технический отдел'!D:D)-1,FALSE)+VLOOKUP($B46,'Управленческий блок'!$B$10:$O$76,COLUMN('Управленческий блок'!D:D)-1,FALSE)</f>
        <v>600</v>
      </c>
      <c r="E46" s="724">
        <f>VLOOKUP($B46,'Коммерческий отдел'!$B$10:$O$58,COLUMN('Коммерческий отдел'!E:E)-1,FALSE)+VLOOKUP($B46,'Технический отдел'!$B$10:$O$58,COLUMN('Технический отдел'!E:E)-1,FALSE)+VLOOKUP($B46,'Управленческий блок'!$B$10:$O$76,COLUMN('Управленческий блок'!E:E)-1,FALSE)</f>
        <v>600</v>
      </c>
      <c r="F46" s="724">
        <f>VLOOKUP($B46,'Коммерческий отдел'!$B$10:$O$58,COLUMN('Коммерческий отдел'!F:F)-1,FALSE)+VLOOKUP($B46,'Технический отдел'!$B$10:$O$58,COLUMN('Технический отдел'!F:F)-1,FALSE)+VLOOKUP($B46,'Управленческий блок'!$B$10:$O$76,COLUMN('Управленческий блок'!F:F)-1,FALSE)</f>
        <v>600</v>
      </c>
      <c r="G46" s="724">
        <f>VLOOKUP($B46,'Коммерческий отдел'!$B$10:$O$58,COLUMN('Коммерческий отдел'!G:G)-1,FALSE)+VLOOKUP($B46,'Технический отдел'!$B$10:$O$58,COLUMN('Технический отдел'!G:G)-1,FALSE)+VLOOKUP($B46,'Управленческий блок'!$B$10:$O$76,COLUMN('Управленческий блок'!G:G)-1,FALSE)</f>
        <v>600</v>
      </c>
      <c r="H46" s="724">
        <f>VLOOKUP($B46,'Коммерческий отдел'!$B$10:$O$58,COLUMN('Коммерческий отдел'!H:H)-1,FALSE)+VLOOKUP($B46,'Технический отдел'!$B$10:$O$58,COLUMN('Технический отдел'!H:H)-1,FALSE)+VLOOKUP($B46,'Управленческий блок'!$B$10:$O$76,COLUMN('Управленческий блок'!H:H)-1,FALSE)</f>
        <v>3000</v>
      </c>
      <c r="I46" s="724">
        <f>VLOOKUP($B46,'Коммерческий отдел'!$B$10:$O$58,COLUMN('Коммерческий отдел'!I:I)-1,FALSE)+VLOOKUP($B46,'Технический отдел'!$B$10:$O$58,COLUMN('Технический отдел'!I:I)-1,FALSE)+VLOOKUP($B46,'Управленческий блок'!$B$10:$O$76,COLUMN('Управленческий блок'!I:I)-1,FALSE)</f>
        <v>3300</v>
      </c>
      <c r="J46" s="724">
        <f>VLOOKUP($B46,'Коммерческий отдел'!$B$10:$O$58,COLUMN('Коммерческий отдел'!J:J)-1,FALSE)+VLOOKUP($B46,'Технический отдел'!$B$10:$O$58,COLUMN('Технический отдел'!J:J)-1,FALSE)+VLOOKUP($B46,'Управленческий блок'!$B$10:$O$76,COLUMN('Управленческий блок'!J:J)-1,FALSE)</f>
        <v>3630</v>
      </c>
      <c r="K46" s="724">
        <f>VLOOKUP($B46,'Коммерческий отдел'!$B$10:$O$58,COLUMN('Коммерческий отдел'!K:K)-1,FALSE)+VLOOKUP($B46,'Технический отдел'!$B$10:$O$58,COLUMN('Технический отдел'!K:K)-1,FALSE)+VLOOKUP($B46,'Управленческий блок'!$B$10:$O$76,COLUMN('Управленческий блок'!K:K)-1,FALSE)</f>
        <v>3993</v>
      </c>
      <c r="L46" s="724">
        <f>VLOOKUP($B46,'Коммерческий отдел'!$B$10:$O$58,COLUMN('Коммерческий отдел'!L:L)-1,FALSE)+VLOOKUP($B46,'Технический отдел'!$B$10:$O$58,COLUMN('Технический отдел'!L:L)-1,FALSE)+VLOOKUP($B46,'Управленческий блок'!$B$10:$O$76,COLUMN('Управленческий блок'!L:L)-1,FALSE)</f>
        <v>0</v>
      </c>
      <c r="M46" s="724">
        <f>VLOOKUP($B46,'Коммерческий отдел'!$B$10:$O$58,COLUMN('Коммерческий отдел'!M:M)-1,FALSE)+VLOOKUP($B46,'Технический отдел'!$B$10:$O$58,COLUMN('Технический отдел'!M:M)-1,FALSE)+VLOOKUP($B46,'Управленческий блок'!$B$10:$O$76,COLUMN('Управленческий блок'!M:M)-1,FALSE)</f>
        <v>0</v>
      </c>
      <c r="N46" s="724">
        <f>VLOOKUP($B46,'Коммерческий отдел'!$B$10:$O$58,COLUMN('Коммерческий отдел'!N:N)-1,FALSE)+VLOOKUP($B46,'Технический отдел'!$B$10:$O$58,COLUMN('Технический отдел'!N:N)-1,FALSE)+VLOOKUP($B46,'Управленческий блок'!$B$10:$O$76,COLUMN('Управленческий блок'!N:N)-1,FALSE)</f>
        <v>0</v>
      </c>
      <c r="O46" s="725">
        <f>VLOOKUP($B46,'Коммерческий отдел'!$B$10:$O$58,COLUMN('Коммерческий отдел'!O:O)-1,FALSE)+VLOOKUP($B46,'Технический отдел'!$B$10:$O$58,COLUMN('Технический отдел'!O:O)-1,FALSE)+VLOOKUP($B46,'Управленческий блок'!$B$10:$O$76,COLUMN('Управленческий блок'!O:O)-1,FALSE)</f>
        <v>0</v>
      </c>
      <c r="P46" s="8"/>
    </row>
    <row r="47" spans="1:16" ht="12.75" outlineLevel="1">
      <c r="A47" s="557"/>
      <c r="B47" s="460" t="s">
        <v>568</v>
      </c>
      <c r="C47" s="473" t="str">
        <f>VLOOKUP(B47,Справочники!$B:$F,3,FALSE)</f>
        <v>Услуги пот продвижению и рекламе продукции</v>
      </c>
      <c r="D47" s="456">
        <f>VLOOKUP($B47,'Коммерческий отдел'!$B$10:$O$58,COLUMN('Коммерческий отдел'!D:D)-1,FALSE)+VLOOKUP($B47,'Технический отдел'!$B$10:$O$58,COLUMN('Технический отдел'!D:D)-1,FALSE)+VLOOKUP($B47,'Управленческий блок'!$B$10:$O$76,COLUMN('Управленческий блок'!D:D)-1,FALSE)</f>
        <v>22500</v>
      </c>
      <c r="E47" s="724">
        <f>VLOOKUP($B47,'Коммерческий отдел'!$B$10:$O$58,COLUMN('Коммерческий отдел'!E:E)-1,FALSE)+VLOOKUP($B47,'Технический отдел'!$B$10:$O$58,COLUMN('Технический отдел'!E:E)-1,FALSE)+VLOOKUP($B47,'Управленческий блок'!$B$10:$O$76,COLUMN('Управленческий блок'!E:E)-1,FALSE)</f>
        <v>22500</v>
      </c>
      <c r="F47" s="724">
        <f>VLOOKUP($B47,'Коммерческий отдел'!$B$10:$O$58,COLUMN('Коммерческий отдел'!F:F)-1,FALSE)+VLOOKUP($B47,'Технический отдел'!$B$10:$O$58,COLUMN('Технический отдел'!F:F)-1,FALSE)+VLOOKUP($B47,'Управленческий блок'!$B$10:$O$76,COLUMN('Управленческий блок'!F:F)-1,FALSE)</f>
        <v>52500</v>
      </c>
      <c r="G47" s="724">
        <f>VLOOKUP($B47,'Коммерческий отдел'!$B$10:$O$58,COLUMN('Коммерческий отдел'!G:G)-1,FALSE)+VLOOKUP($B47,'Технический отдел'!$B$10:$O$58,COLUMN('Технический отдел'!G:G)-1,FALSE)+VLOOKUP($B47,'Управленческий блок'!$B$10:$O$76,COLUMN('Управленческий блок'!G:G)-1,FALSE)</f>
        <v>52500</v>
      </c>
      <c r="H47" s="724">
        <f>VLOOKUP($B47,'Коммерческий отдел'!$B$10:$O$58,COLUMN('Коммерческий отдел'!H:H)-1,FALSE)+VLOOKUP($B47,'Технический отдел'!$B$10:$O$58,COLUMN('Технический отдел'!H:H)-1,FALSE)+VLOOKUP($B47,'Управленческий блок'!$B$10:$O$76,COLUMN('Управленческий блок'!H:H)-1,FALSE)</f>
        <v>210000</v>
      </c>
      <c r="I47" s="724">
        <f>VLOOKUP($B47,'Коммерческий отдел'!$B$10:$O$58,COLUMN('Коммерческий отдел'!I:I)-1,FALSE)+VLOOKUP($B47,'Технический отдел'!$B$10:$O$58,COLUMN('Технический отдел'!I:I)-1,FALSE)+VLOOKUP($B47,'Управленческий блок'!$B$10:$O$76,COLUMN('Управленческий блок'!I:I)-1,FALSE)</f>
        <v>250000</v>
      </c>
      <c r="J47" s="724">
        <f>VLOOKUP($B47,'Коммерческий отдел'!$B$10:$O$58,COLUMN('Коммерческий отдел'!J:J)-1,FALSE)+VLOOKUP($B47,'Технический отдел'!$B$10:$O$58,COLUMN('Технический отдел'!J:J)-1,FALSE)+VLOOKUP($B47,'Управленческий блок'!$B$10:$O$76,COLUMN('Управленческий блок'!J:J)-1,FALSE)</f>
        <v>300000</v>
      </c>
      <c r="K47" s="724">
        <f>VLOOKUP($B47,'Коммерческий отдел'!$B$10:$O$58,COLUMN('Коммерческий отдел'!K:K)-1,FALSE)+VLOOKUP($B47,'Технический отдел'!$B$10:$O$58,COLUMN('Технический отдел'!K:K)-1,FALSE)+VLOOKUP($B47,'Управленческий блок'!$B$10:$O$76,COLUMN('Управленческий блок'!K:K)-1,FALSE)</f>
        <v>0</v>
      </c>
      <c r="L47" s="724">
        <f>VLOOKUP($B47,'Коммерческий отдел'!$B$10:$O$58,COLUMN('Коммерческий отдел'!L:L)-1,FALSE)+VLOOKUP($B47,'Технический отдел'!$B$10:$O$58,COLUMN('Технический отдел'!L:L)-1,FALSE)+VLOOKUP($B47,'Управленческий блок'!$B$10:$O$76,COLUMN('Управленческий блок'!L:L)-1,FALSE)</f>
        <v>0</v>
      </c>
      <c r="M47" s="724">
        <f>VLOOKUP($B47,'Коммерческий отдел'!$B$10:$O$58,COLUMN('Коммерческий отдел'!M:M)-1,FALSE)+VLOOKUP($B47,'Технический отдел'!$B$10:$O$58,COLUMN('Технический отдел'!M:M)-1,FALSE)+VLOOKUP($B47,'Управленческий блок'!$B$10:$O$76,COLUMN('Управленческий блок'!M:M)-1,FALSE)</f>
        <v>0</v>
      </c>
      <c r="N47" s="724">
        <f>VLOOKUP($B47,'Коммерческий отдел'!$B$10:$O$58,COLUMN('Коммерческий отдел'!N:N)-1,FALSE)+VLOOKUP($B47,'Технический отдел'!$B$10:$O$58,COLUMN('Технический отдел'!N:N)-1,FALSE)+VLOOKUP($B47,'Управленческий блок'!$B$10:$O$76,COLUMN('Управленческий блок'!N:N)-1,FALSE)</f>
        <v>0</v>
      </c>
      <c r="O47" s="725">
        <f>VLOOKUP($B47,'Коммерческий отдел'!$B$10:$O$58,COLUMN('Коммерческий отдел'!O:O)-1,FALSE)+VLOOKUP($B47,'Технический отдел'!$B$10:$O$58,COLUMN('Технический отдел'!O:O)-1,FALSE)+VLOOKUP($B47,'Управленческий блок'!$B$10:$O$76,COLUMN('Управленческий блок'!O:O)-1,FALSE)</f>
        <v>0</v>
      </c>
      <c r="P47" s="8"/>
    </row>
    <row r="48" spans="1:16" ht="12.75" outlineLevel="1">
      <c r="A48" s="557"/>
      <c r="B48" s="460" t="s">
        <v>569</v>
      </c>
      <c r="C48" s="473" t="str">
        <f>VLOOKUP(B48,Справочники!$B:$F,3,FALSE)</f>
        <v>Консультационные услуги</v>
      </c>
      <c r="D48" s="456">
        <f>VLOOKUP($B48,'Коммерческий отдел'!$B$10:$O$58,COLUMN('Коммерческий отдел'!D:D)-1,FALSE)+VLOOKUP($B48,'Технический отдел'!$B$10:$O$58,COLUMN('Технический отдел'!D:D)-1,FALSE)+VLOOKUP($B48,'Управленческий блок'!$B$10:$O$76,COLUMN('Управленческий блок'!D:D)-1,FALSE)</f>
        <v>0</v>
      </c>
      <c r="E48" s="724">
        <f>VLOOKUP($B48,'Коммерческий отдел'!$B$10:$O$58,COLUMN('Коммерческий отдел'!E:E)-1,FALSE)+VLOOKUP($B48,'Технический отдел'!$B$10:$O$58,COLUMN('Технический отдел'!E:E)-1,FALSE)+VLOOKUP($B48,'Управленческий блок'!$B$10:$O$76,COLUMN('Управленческий блок'!E:E)-1,FALSE)</f>
        <v>0</v>
      </c>
      <c r="F48" s="724">
        <f>VLOOKUP($B48,'Коммерческий отдел'!$B$10:$O$58,COLUMN('Коммерческий отдел'!F:F)-1,FALSE)+VLOOKUP($B48,'Технический отдел'!$B$10:$O$58,COLUMN('Технический отдел'!F:F)-1,FALSE)+VLOOKUP($B48,'Управленческий блок'!$B$10:$O$76,COLUMN('Управленческий блок'!F:F)-1,FALSE)</f>
        <v>0</v>
      </c>
      <c r="G48" s="724">
        <f>VLOOKUP($B48,'Коммерческий отдел'!$B$10:$O$58,COLUMN('Коммерческий отдел'!G:G)-1,FALSE)+VLOOKUP($B48,'Технический отдел'!$B$10:$O$58,COLUMN('Технический отдел'!G:G)-1,FALSE)+VLOOKUP($B48,'Управленческий блок'!$B$10:$O$76,COLUMN('Управленческий блок'!G:G)-1,FALSE)</f>
        <v>0</v>
      </c>
      <c r="H48" s="724">
        <f>VLOOKUP($B48,'Коммерческий отдел'!$B$10:$O$58,COLUMN('Коммерческий отдел'!H:H)-1,FALSE)+VLOOKUP($B48,'Технический отдел'!$B$10:$O$58,COLUMN('Технический отдел'!H:H)-1,FALSE)+VLOOKUP($B48,'Управленческий блок'!$B$10:$O$76,COLUMN('Управленческий блок'!H:H)-1,FALSE)</f>
        <v>0</v>
      </c>
      <c r="I48" s="724">
        <f>VLOOKUP($B48,'Коммерческий отдел'!$B$10:$O$58,COLUMN('Коммерческий отдел'!I:I)-1,FALSE)+VLOOKUP($B48,'Технический отдел'!$B$10:$O$58,COLUMN('Технический отдел'!I:I)-1,FALSE)+VLOOKUP($B48,'Управленческий блок'!$B$10:$O$76,COLUMN('Управленческий блок'!I:I)-1,FALSE)</f>
        <v>0</v>
      </c>
      <c r="J48" s="724">
        <f>VLOOKUP($B48,'Коммерческий отдел'!$B$10:$O$58,COLUMN('Коммерческий отдел'!J:J)-1,FALSE)+VLOOKUP($B48,'Технический отдел'!$B$10:$O$58,COLUMN('Технический отдел'!J:J)-1,FALSE)+VLOOKUP($B48,'Управленческий блок'!$B$10:$O$76,COLUMN('Управленческий блок'!J:J)-1,FALSE)</f>
        <v>0</v>
      </c>
      <c r="K48" s="724">
        <f>VLOOKUP($B48,'Коммерческий отдел'!$B$10:$O$58,COLUMN('Коммерческий отдел'!K:K)-1,FALSE)+VLOOKUP($B48,'Технический отдел'!$B$10:$O$58,COLUMN('Технический отдел'!K:K)-1,FALSE)+VLOOKUP($B48,'Управленческий блок'!$B$10:$O$76,COLUMN('Управленческий блок'!K:K)-1,FALSE)</f>
        <v>0</v>
      </c>
      <c r="L48" s="724">
        <f>VLOOKUP($B48,'Коммерческий отдел'!$B$10:$O$58,COLUMN('Коммерческий отдел'!L:L)-1,FALSE)+VLOOKUP($B48,'Технический отдел'!$B$10:$O$58,COLUMN('Технический отдел'!L:L)-1,FALSE)+VLOOKUP($B48,'Управленческий блок'!$B$10:$O$76,COLUMN('Управленческий блок'!L:L)-1,FALSE)</f>
        <v>0</v>
      </c>
      <c r="M48" s="724">
        <f>VLOOKUP($B48,'Коммерческий отдел'!$B$10:$O$58,COLUMN('Коммерческий отдел'!M:M)-1,FALSE)+VLOOKUP($B48,'Технический отдел'!$B$10:$O$58,COLUMN('Технический отдел'!M:M)-1,FALSE)+VLOOKUP($B48,'Управленческий блок'!$B$10:$O$76,COLUMN('Управленческий блок'!M:M)-1,FALSE)</f>
        <v>0</v>
      </c>
      <c r="N48" s="724">
        <f>VLOOKUP($B48,'Коммерческий отдел'!$B$10:$O$58,COLUMN('Коммерческий отдел'!N:N)-1,FALSE)+VLOOKUP($B48,'Технический отдел'!$B$10:$O$58,COLUMN('Технический отдел'!N:N)-1,FALSE)+VLOOKUP($B48,'Управленческий блок'!$B$10:$O$76,COLUMN('Управленческий блок'!N:N)-1,FALSE)</f>
        <v>0</v>
      </c>
      <c r="O48" s="725">
        <f>VLOOKUP($B48,'Коммерческий отдел'!$B$10:$O$58,COLUMN('Коммерческий отдел'!O:O)-1,FALSE)+VLOOKUP($B48,'Технический отдел'!$B$10:$O$58,COLUMN('Технический отдел'!O:O)-1,FALSE)+VLOOKUP($B48,'Управленческий блок'!$B$10:$O$76,COLUMN('Управленческий блок'!O:O)-1,FALSE)</f>
        <v>0</v>
      </c>
      <c r="P48" s="8"/>
    </row>
    <row r="49" spans="1:16" ht="12.75" outlineLevel="1">
      <c r="A49" s="557"/>
      <c r="B49" s="460" t="s">
        <v>570</v>
      </c>
      <c r="C49" s="473" t="str">
        <f>VLOOKUP(B49,Справочники!$B:$F,3,FALSE)</f>
        <v>Услуги банка</v>
      </c>
      <c r="D49" s="456">
        <f>VLOOKUP($B49,'Коммерческий отдел'!$B$10:$O$58,COLUMN('Коммерческий отдел'!D:D)-1,FALSE)+VLOOKUP($B49,'Технический отдел'!$B$10:$O$58,COLUMN('Технический отдел'!D:D)-1,FALSE)+VLOOKUP($B49,'Управленческий блок'!$B$10:$O$76,COLUMN('Управленческий блок'!D:D)-1,FALSE)</f>
        <v>400</v>
      </c>
      <c r="E49" s="724">
        <f>VLOOKUP($B49,'Коммерческий отдел'!$B$10:$O$58,COLUMN('Коммерческий отдел'!E:E)-1,FALSE)+VLOOKUP($B49,'Технический отдел'!$B$10:$O$58,COLUMN('Технический отдел'!E:E)-1,FALSE)+VLOOKUP($B49,'Управленческий блок'!$B$10:$O$76,COLUMN('Управленческий блок'!E:E)-1,FALSE)</f>
        <v>400</v>
      </c>
      <c r="F49" s="724">
        <f>VLOOKUP($B49,'Коммерческий отдел'!$B$10:$O$58,COLUMN('Коммерческий отдел'!F:F)-1,FALSE)+VLOOKUP($B49,'Технический отдел'!$B$10:$O$58,COLUMN('Технический отдел'!F:F)-1,FALSE)+VLOOKUP($B49,'Управленческий блок'!$B$10:$O$76,COLUMN('Управленческий блок'!F:F)-1,FALSE)</f>
        <v>400</v>
      </c>
      <c r="G49" s="724">
        <f>VLOOKUP($B49,'Коммерческий отдел'!$B$10:$O$58,COLUMN('Коммерческий отдел'!G:G)-1,FALSE)+VLOOKUP($B49,'Технический отдел'!$B$10:$O$58,COLUMN('Технический отдел'!G:G)-1,FALSE)+VLOOKUP($B49,'Управленческий блок'!$B$10:$O$76,COLUMN('Управленческий блок'!G:G)-1,FALSE)</f>
        <v>400</v>
      </c>
      <c r="H49" s="724">
        <f>VLOOKUP($B49,'Коммерческий отдел'!$B$10:$O$58,COLUMN('Коммерческий отдел'!H:H)-1,FALSE)+VLOOKUP($B49,'Технический отдел'!$B$10:$O$58,COLUMN('Технический отдел'!H:H)-1,FALSE)+VLOOKUP($B49,'Управленческий блок'!$B$10:$O$76,COLUMN('Управленческий блок'!H:H)-1,FALSE)</f>
        <v>1600</v>
      </c>
      <c r="I49" s="724">
        <f>VLOOKUP($B49,'Коммерческий отдел'!$B$10:$O$58,COLUMN('Коммерческий отдел'!I:I)-1,FALSE)+VLOOKUP($B49,'Технический отдел'!$B$10:$O$58,COLUMN('Технический отдел'!I:I)-1,FALSE)+VLOOKUP($B49,'Управленческий блок'!$B$10:$O$76,COLUMN('Управленческий блок'!I:I)-1,FALSE)</f>
        <v>1600</v>
      </c>
      <c r="J49" s="724">
        <f>VLOOKUP($B49,'Коммерческий отдел'!$B$10:$O$58,COLUMN('Коммерческий отдел'!J:J)-1,FALSE)+VLOOKUP($B49,'Технический отдел'!$B$10:$O$58,COLUMN('Технический отдел'!J:J)-1,FALSE)+VLOOKUP($B49,'Управленческий блок'!$B$10:$O$76,COLUMN('Управленческий блок'!J:J)-1,FALSE)</f>
        <v>1600</v>
      </c>
      <c r="K49" s="724">
        <f>VLOOKUP($B49,'Коммерческий отдел'!$B$10:$O$58,COLUMN('Коммерческий отдел'!K:K)-1,FALSE)+VLOOKUP($B49,'Технический отдел'!$B$10:$O$58,COLUMN('Технический отдел'!K:K)-1,FALSE)+VLOOKUP($B49,'Управленческий блок'!$B$10:$O$76,COLUMN('Управленческий блок'!K:K)-1,FALSE)</f>
        <v>1600</v>
      </c>
      <c r="L49" s="724">
        <f>VLOOKUP($B49,'Коммерческий отдел'!$B$10:$O$58,COLUMN('Коммерческий отдел'!L:L)-1,FALSE)+VLOOKUP($B49,'Технический отдел'!$B$10:$O$58,COLUMN('Технический отдел'!L:L)-1,FALSE)+VLOOKUP($B49,'Управленческий блок'!$B$10:$O$76,COLUMN('Управленческий блок'!L:L)-1,FALSE)</f>
        <v>0</v>
      </c>
      <c r="M49" s="724">
        <f>VLOOKUP($B49,'Коммерческий отдел'!$B$10:$O$58,COLUMN('Коммерческий отдел'!M:M)-1,FALSE)+VLOOKUP($B49,'Технический отдел'!$B$10:$O$58,COLUMN('Технический отдел'!M:M)-1,FALSE)+VLOOKUP($B49,'Управленческий блок'!$B$10:$O$76,COLUMN('Управленческий блок'!M:M)-1,FALSE)</f>
        <v>0</v>
      </c>
      <c r="N49" s="724">
        <f>VLOOKUP($B49,'Коммерческий отдел'!$B$10:$O$58,COLUMN('Коммерческий отдел'!N:N)-1,FALSE)+VLOOKUP($B49,'Технический отдел'!$B$10:$O$58,COLUMN('Технический отдел'!N:N)-1,FALSE)+VLOOKUP($B49,'Управленческий блок'!$B$10:$O$76,COLUMN('Управленческий блок'!N:N)-1,FALSE)</f>
        <v>0</v>
      </c>
      <c r="O49" s="725">
        <f>VLOOKUP($B49,'Коммерческий отдел'!$B$10:$O$58,COLUMN('Коммерческий отдел'!O:O)-1,FALSE)+VLOOKUP($B49,'Технический отдел'!$B$10:$O$58,COLUMN('Технический отдел'!O:O)-1,FALSE)+VLOOKUP($B49,'Управленческий блок'!$B$10:$O$76,COLUMN('Управленческий блок'!O:O)-1,FALSE)</f>
        <v>0</v>
      </c>
      <c r="P49" s="8"/>
    </row>
    <row r="50" spans="1:16" ht="12.75" outlineLevel="1">
      <c r="A50" s="557"/>
      <c r="B50" s="460" t="s">
        <v>571</v>
      </c>
      <c r="C50" s="473" t="str">
        <f>VLOOKUP(B50,Справочники!$B:$F,3,FALSE)</f>
        <v>Услуги почты</v>
      </c>
      <c r="D50" s="456">
        <f>VLOOKUP($B50,'Коммерческий отдел'!$B$10:$O$58,COLUMN('Коммерческий отдел'!D:D)-1,FALSE)+VLOOKUP($B50,'Технический отдел'!$B$10:$O$58,COLUMN('Технический отдел'!D:D)-1,FALSE)+VLOOKUP($B50,'Управленческий блок'!$B$10:$O$76,COLUMN('Управленческий блок'!D:D)-1,FALSE)</f>
        <v>650</v>
      </c>
      <c r="E50" s="724">
        <f>VLOOKUP($B50,'Коммерческий отдел'!$B$10:$O$58,COLUMN('Коммерческий отдел'!E:E)-1,FALSE)+VLOOKUP($B50,'Технический отдел'!$B$10:$O$58,COLUMN('Технический отдел'!E:E)-1,FALSE)+VLOOKUP($B50,'Управленческий блок'!$B$10:$O$76,COLUMN('Управленческий блок'!E:E)-1,FALSE)</f>
        <v>650</v>
      </c>
      <c r="F50" s="724">
        <f>VLOOKUP($B50,'Коммерческий отдел'!$B$10:$O$58,COLUMN('Коммерческий отдел'!F:F)-1,FALSE)+VLOOKUP($B50,'Технический отдел'!$B$10:$O$58,COLUMN('Технический отдел'!F:F)-1,FALSE)+VLOOKUP($B50,'Управленческий блок'!$B$10:$O$76,COLUMN('Управленческий блок'!F:F)-1,FALSE)</f>
        <v>650</v>
      </c>
      <c r="G50" s="724">
        <f>VLOOKUP($B50,'Коммерческий отдел'!$B$10:$O$58,COLUMN('Коммерческий отдел'!G:G)-1,FALSE)+VLOOKUP($B50,'Технический отдел'!$B$10:$O$58,COLUMN('Технический отдел'!G:G)-1,FALSE)+VLOOKUP($B50,'Управленческий блок'!$B$10:$O$76,COLUMN('Управленческий блок'!G:G)-1,FALSE)</f>
        <v>650</v>
      </c>
      <c r="H50" s="724">
        <f>VLOOKUP($B50,'Коммерческий отдел'!$B$10:$O$58,COLUMN('Коммерческий отдел'!H:H)-1,FALSE)+VLOOKUP($B50,'Технический отдел'!$B$10:$O$58,COLUMN('Технический отдел'!H:H)-1,FALSE)+VLOOKUP($B50,'Управленческий блок'!$B$10:$O$76,COLUMN('Управленческий блок'!H:H)-1,FALSE)</f>
        <v>3500</v>
      </c>
      <c r="I50" s="724">
        <f>VLOOKUP($B50,'Коммерческий отдел'!$B$10:$O$58,COLUMN('Коммерческий отдел'!I:I)-1,FALSE)+VLOOKUP($B50,'Технический отдел'!$B$10:$O$58,COLUMN('Технический отдел'!I:I)-1,FALSE)+VLOOKUP($B50,'Управленческий блок'!$B$10:$O$76,COLUMN('Управленческий блок'!I:I)-1,FALSE)</f>
        <v>3675</v>
      </c>
      <c r="J50" s="724">
        <f>VLOOKUP($B50,'Коммерческий отдел'!$B$10:$O$58,COLUMN('Коммерческий отдел'!J:J)-1,FALSE)+VLOOKUP($B50,'Технический отдел'!$B$10:$O$58,COLUMN('Технический отдел'!J:J)-1,FALSE)+VLOOKUP($B50,'Управленческий блок'!$B$10:$O$76,COLUMN('Управленческий блок'!J:J)-1,FALSE)</f>
        <v>3858.75</v>
      </c>
      <c r="K50" s="724">
        <f>VLOOKUP($B50,'Коммерческий отдел'!$B$10:$O$58,COLUMN('Коммерческий отдел'!K:K)-1,FALSE)+VLOOKUP($B50,'Технический отдел'!$B$10:$O$58,COLUMN('Технический отдел'!K:K)-1,FALSE)+VLOOKUP($B50,'Управленческий блок'!$B$10:$O$76,COLUMN('Управленческий блок'!K:K)-1,FALSE)</f>
        <v>4051.6875</v>
      </c>
      <c r="L50" s="724">
        <f>VLOOKUP($B50,'Коммерческий отдел'!$B$10:$O$58,COLUMN('Коммерческий отдел'!L:L)-1,FALSE)+VLOOKUP($B50,'Технический отдел'!$B$10:$O$58,COLUMN('Технический отдел'!L:L)-1,FALSE)+VLOOKUP($B50,'Управленческий блок'!$B$10:$O$76,COLUMN('Управленческий блок'!L:L)-1,FALSE)</f>
        <v>0</v>
      </c>
      <c r="M50" s="724">
        <f>VLOOKUP($B50,'Коммерческий отдел'!$B$10:$O$58,COLUMN('Коммерческий отдел'!M:M)-1,FALSE)+VLOOKUP($B50,'Технический отдел'!$B$10:$O$58,COLUMN('Технический отдел'!M:M)-1,FALSE)+VLOOKUP($B50,'Управленческий блок'!$B$10:$O$76,COLUMN('Управленческий блок'!M:M)-1,FALSE)</f>
        <v>0</v>
      </c>
      <c r="N50" s="724">
        <f>VLOOKUP($B50,'Коммерческий отдел'!$B$10:$O$58,COLUMN('Коммерческий отдел'!N:N)-1,FALSE)+VLOOKUP($B50,'Технический отдел'!$B$10:$O$58,COLUMN('Технический отдел'!N:N)-1,FALSE)+VLOOKUP($B50,'Управленческий блок'!$B$10:$O$76,COLUMN('Управленческий блок'!N:N)-1,FALSE)</f>
        <v>0</v>
      </c>
      <c r="O50" s="725">
        <f>VLOOKUP($B50,'Коммерческий отдел'!$B$10:$O$58,COLUMN('Коммерческий отдел'!O:O)-1,FALSE)+VLOOKUP($B50,'Технический отдел'!$B$10:$O$58,COLUMN('Технический отдел'!O:O)-1,FALSE)+VLOOKUP($B50,'Управленческий блок'!$B$10:$O$76,COLUMN('Управленческий блок'!O:O)-1,FALSE)</f>
        <v>0</v>
      </c>
      <c r="P50" s="8"/>
    </row>
    <row r="51" spans="1:16" ht="12.75" outlineLevel="1">
      <c r="A51" s="557"/>
      <c r="B51" s="460" t="s">
        <v>572</v>
      </c>
      <c r="C51" s="473" t="str">
        <f>VLOOKUP(B51,Справочники!$B:$F,3,FALSE)</f>
        <v>Услуги по по таможенному оформлению </v>
      </c>
      <c r="D51" s="456">
        <f>VLOOKUP($B51,'Коммерческий отдел'!$B$10:$O$58,COLUMN('Коммерческий отдел'!D:D)-1,FALSE)+VLOOKUP($B51,'Технический отдел'!$B$10:$O$58,COLUMN('Технический отдел'!D:D)-1,FALSE)+VLOOKUP($B51,'Управленческий блок'!$B$10:$O$76,COLUMN('Управленческий блок'!D:D)-1,FALSE)</f>
        <v>0</v>
      </c>
      <c r="E51" s="724">
        <f>VLOOKUP($B51,'Коммерческий отдел'!$B$10:$O$58,COLUMN('Коммерческий отдел'!E:E)-1,FALSE)+VLOOKUP($B51,'Технический отдел'!$B$10:$O$58,COLUMN('Технический отдел'!E:E)-1,FALSE)+VLOOKUP($B51,'Управленческий блок'!$B$10:$O$76,COLUMN('Управленческий блок'!E:E)-1,FALSE)</f>
        <v>0</v>
      </c>
      <c r="F51" s="724">
        <f>VLOOKUP($B51,'Коммерческий отдел'!$B$10:$O$58,COLUMN('Коммерческий отдел'!F:F)-1,FALSE)+VLOOKUP($B51,'Технический отдел'!$B$10:$O$58,COLUMN('Технический отдел'!F:F)-1,FALSE)+VLOOKUP($B51,'Управленческий блок'!$B$10:$O$76,COLUMN('Управленческий блок'!F:F)-1,FALSE)</f>
        <v>0</v>
      </c>
      <c r="G51" s="724">
        <f>VLOOKUP($B51,'Коммерческий отдел'!$B$10:$O$58,COLUMN('Коммерческий отдел'!G:G)-1,FALSE)+VLOOKUP($B51,'Технический отдел'!$B$10:$O$58,COLUMN('Технический отдел'!G:G)-1,FALSE)+VLOOKUP($B51,'Управленческий блок'!$B$10:$O$76,COLUMN('Управленческий блок'!G:G)-1,FALSE)</f>
        <v>0</v>
      </c>
      <c r="H51" s="724">
        <f>VLOOKUP($B51,'Коммерческий отдел'!$B$10:$O$58,COLUMN('Коммерческий отдел'!H:H)-1,FALSE)+VLOOKUP($B51,'Технический отдел'!$B$10:$O$58,COLUMN('Технический отдел'!H:H)-1,FALSE)+VLOOKUP($B51,'Управленческий блок'!$B$10:$O$76,COLUMN('Управленческий блок'!H:H)-1,FALSE)</f>
        <v>0</v>
      </c>
      <c r="I51" s="724">
        <f>VLOOKUP($B51,'Коммерческий отдел'!$B$10:$O$58,COLUMN('Коммерческий отдел'!I:I)-1,FALSE)+VLOOKUP($B51,'Технический отдел'!$B$10:$O$58,COLUMN('Технический отдел'!I:I)-1,FALSE)+VLOOKUP($B51,'Управленческий блок'!$B$10:$O$76,COLUMN('Управленческий блок'!I:I)-1,FALSE)</f>
        <v>0</v>
      </c>
      <c r="J51" s="724">
        <f>VLOOKUP($B51,'Коммерческий отдел'!$B$10:$O$58,COLUMN('Коммерческий отдел'!J:J)-1,FALSE)+VLOOKUP($B51,'Технический отдел'!$B$10:$O$58,COLUMN('Технический отдел'!J:J)-1,FALSE)+VLOOKUP($B51,'Управленческий блок'!$B$10:$O$76,COLUMN('Управленческий блок'!J:J)-1,FALSE)</f>
        <v>0</v>
      </c>
      <c r="K51" s="724">
        <f>VLOOKUP($B51,'Коммерческий отдел'!$B$10:$O$58,COLUMN('Коммерческий отдел'!K:K)-1,FALSE)+VLOOKUP($B51,'Технический отдел'!$B$10:$O$58,COLUMN('Технический отдел'!K:K)-1,FALSE)+VLOOKUP($B51,'Управленческий блок'!$B$10:$O$76,COLUMN('Управленческий блок'!K:K)-1,FALSE)</f>
        <v>0</v>
      </c>
      <c r="L51" s="724">
        <f>VLOOKUP($B51,'Коммерческий отдел'!$B$10:$O$58,COLUMN('Коммерческий отдел'!L:L)-1,FALSE)+VLOOKUP($B51,'Технический отдел'!$B$10:$O$58,COLUMN('Технический отдел'!L:L)-1,FALSE)+VLOOKUP($B51,'Управленческий блок'!$B$10:$O$76,COLUMN('Управленческий блок'!L:L)-1,FALSE)</f>
        <v>0</v>
      </c>
      <c r="M51" s="724">
        <f>VLOOKUP($B51,'Коммерческий отдел'!$B$10:$O$58,COLUMN('Коммерческий отдел'!M:M)-1,FALSE)+VLOOKUP($B51,'Технический отдел'!$B$10:$O$58,COLUMN('Технический отдел'!M:M)-1,FALSE)+VLOOKUP($B51,'Управленческий блок'!$B$10:$O$76,COLUMN('Управленческий блок'!M:M)-1,FALSE)</f>
        <v>0</v>
      </c>
      <c r="N51" s="724">
        <f>VLOOKUP($B51,'Коммерческий отдел'!$B$10:$O$58,COLUMN('Коммерческий отдел'!N:N)-1,FALSE)+VLOOKUP($B51,'Технический отдел'!$B$10:$O$58,COLUMN('Технический отдел'!N:N)-1,FALSE)+VLOOKUP($B51,'Управленческий блок'!$B$10:$O$76,COLUMN('Управленческий блок'!N:N)-1,FALSE)</f>
        <v>0</v>
      </c>
      <c r="O51" s="725">
        <f>VLOOKUP($B51,'Коммерческий отдел'!$B$10:$O$58,COLUMN('Коммерческий отдел'!O:O)-1,FALSE)+VLOOKUP($B51,'Технический отдел'!$B$10:$O$58,COLUMN('Технический отдел'!O:O)-1,FALSE)+VLOOKUP($B51,'Управленческий блок'!$B$10:$O$76,COLUMN('Управленческий блок'!O:O)-1,FALSE)</f>
        <v>0</v>
      </c>
      <c r="P51" s="8"/>
    </row>
    <row r="52" spans="1:16" ht="12.75" outlineLevel="1">
      <c r="A52" s="557"/>
      <c r="B52" s="460" t="s">
        <v>573</v>
      </c>
      <c r="C52" s="473" t="str">
        <f>VLOOKUP(B52,Справочники!$B:$F,3,FALSE)</f>
        <v>Транспортные услуги</v>
      </c>
      <c r="D52" s="456">
        <f>VLOOKUP($B52,'Коммерческий отдел'!$B$10:$O$58,COLUMN('Коммерческий отдел'!D:D)-1,FALSE)+VLOOKUP($B52,'Технический отдел'!$B$10:$O$58,COLUMN('Технический отдел'!D:D)-1,FALSE)+VLOOKUP($B52,'Управленческий блок'!$B$10:$O$76,COLUMN('Управленческий блок'!D:D)-1,FALSE)</f>
        <v>1000</v>
      </c>
      <c r="E52" s="724">
        <f>VLOOKUP($B52,'Коммерческий отдел'!$B$10:$O$58,COLUMN('Коммерческий отдел'!E:E)-1,FALSE)+VLOOKUP($B52,'Технический отдел'!$B$10:$O$58,COLUMN('Технический отдел'!E:E)-1,FALSE)+VLOOKUP($B52,'Управленческий блок'!$B$10:$O$76,COLUMN('Управленческий блок'!E:E)-1,FALSE)</f>
        <v>1000</v>
      </c>
      <c r="F52" s="724">
        <f>VLOOKUP($B52,'Коммерческий отдел'!$B$10:$O$58,COLUMN('Коммерческий отдел'!F:F)-1,FALSE)+VLOOKUP($B52,'Технический отдел'!$B$10:$O$58,COLUMN('Технический отдел'!F:F)-1,FALSE)+VLOOKUP($B52,'Управленческий блок'!$B$10:$O$76,COLUMN('Управленческий блок'!F:F)-1,FALSE)</f>
        <v>1000</v>
      </c>
      <c r="G52" s="724">
        <f>VLOOKUP($B52,'Коммерческий отдел'!$B$10:$O$58,COLUMN('Коммерческий отдел'!G:G)-1,FALSE)+VLOOKUP($B52,'Технический отдел'!$B$10:$O$58,COLUMN('Технический отдел'!G:G)-1,FALSE)+VLOOKUP($B52,'Управленческий блок'!$B$10:$O$76,COLUMN('Управленческий блок'!G:G)-1,FALSE)</f>
        <v>1000</v>
      </c>
      <c r="H52" s="724">
        <f>VLOOKUP($B52,'Коммерческий отдел'!$B$10:$O$58,COLUMN('Коммерческий отдел'!H:H)-1,FALSE)+VLOOKUP($B52,'Технический отдел'!$B$10:$O$58,COLUMN('Технический отдел'!H:H)-1,FALSE)+VLOOKUP($B52,'Управленческий блок'!$B$10:$O$76,COLUMN('Управленческий блок'!H:H)-1,FALSE)</f>
        <v>5000</v>
      </c>
      <c r="I52" s="724">
        <f>VLOOKUP($B52,'Коммерческий отдел'!$B$10:$O$58,COLUMN('Коммерческий отдел'!I:I)-1,FALSE)+VLOOKUP($B52,'Технический отдел'!$B$10:$O$58,COLUMN('Технический отдел'!I:I)-1,FALSE)+VLOOKUP($B52,'Управленческий блок'!$B$10:$O$76,COLUMN('Управленческий блок'!I:I)-1,FALSE)</f>
        <v>5500</v>
      </c>
      <c r="J52" s="724">
        <f>VLOOKUP($B52,'Коммерческий отдел'!$B$10:$O$58,COLUMN('Коммерческий отдел'!J:J)-1,FALSE)+VLOOKUP($B52,'Технический отдел'!$B$10:$O$58,COLUMN('Технический отдел'!J:J)-1,FALSE)+VLOOKUP($B52,'Управленческий блок'!$B$10:$O$76,COLUMN('Управленческий блок'!J:J)-1,FALSE)</f>
        <v>6000</v>
      </c>
      <c r="K52" s="724">
        <f>VLOOKUP($B52,'Коммерческий отдел'!$B$10:$O$58,COLUMN('Коммерческий отдел'!K:K)-1,FALSE)+VLOOKUP($B52,'Технический отдел'!$B$10:$O$58,COLUMN('Технический отдел'!K:K)-1,FALSE)+VLOOKUP($B52,'Управленческий блок'!$B$10:$O$76,COLUMN('Управленческий блок'!K:K)-1,FALSE)</f>
        <v>6500</v>
      </c>
      <c r="L52" s="724">
        <f>VLOOKUP($B52,'Коммерческий отдел'!$B$10:$O$58,COLUMN('Коммерческий отдел'!L:L)-1,FALSE)+VLOOKUP($B52,'Технический отдел'!$B$10:$O$58,COLUMN('Технический отдел'!L:L)-1,FALSE)+VLOOKUP($B52,'Управленческий блок'!$B$10:$O$76,COLUMN('Управленческий блок'!L:L)-1,FALSE)</f>
        <v>0</v>
      </c>
      <c r="M52" s="724">
        <f>VLOOKUP($B52,'Коммерческий отдел'!$B$10:$O$58,COLUMN('Коммерческий отдел'!M:M)-1,FALSE)+VLOOKUP($B52,'Технический отдел'!$B$10:$O$58,COLUMN('Технический отдел'!M:M)-1,FALSE)+VLOOKUP($B52,'Управленческий блок'!$B$10:$O$76,COLUMN('Управленческий блок'!M:M)-1,FALSE)</f>
        <v>0</v>
      </c>
      <c r="N52" s="724">
        <f>VLOOKUP($B52,'Коммерческий отдел'!$B$10:$O$58,COLUMN('Коммерческий отдел'!N:N)-1,FALSE)+VLOOKUP($B52,'Технический отдел'!$B$10:$O$58,COLUMN('Технический отдел'!N:N)-1,FALSE)+VLOOKUP($B52,'Управленческий блок'!$B$10:$O$76,COLUMN('Управленческий блок'!N:N)-1,FALSE)</f>
        <v>0</v>
      </c>
      <c r="O52" s="725">
        <f>VLOOKUP($B52,'Коммерческий отдел'!$B$10:$O$58,COLUMN('Коммерческий отдел'!O:O)-1,FALSE)+VLOOKUP($B52,'Технический отдел'!$B$10:$O$58,COLUMN('Технический отдел'!O:O)-1,FALSE)+VLOOKUP($B52,'Управленческий блок'!$B$10:$O$76,COLUMN('Управленческий блок'!O:O)-1,FALSE)</f>
        <v>0</v>
      </c>
      <c r="P52" s="8"/>
    </row>
    <row r="53" spans="1:16" ht="12.75" outlineLevel="1">
      <c r="A53" s="557"/>
      <c r="B53" s="460" t="s">
        <v>705</v>
      </c>
      <c r="C53" s="473" t="str">
        <f>VLOOKUP(B53,Справочники!$B:$F,3,FALSE)</f>
        <v>Роялти</v>
      </c>
      <c r="D53" s="456">
        <f>VLOOKUP($B53,'Коммерческий отдел'!$B$10:$O$58,COLUMN('Коммерческий отдел'!D:D)-1,FALSE)+VLOOKUP($B53,'Технический отдел'!$B$10:$O$58,COLUMN('Технический отдел'!D:D)-1,FALSE)+VLOOKUP($B53,'Управленческий блок'!$B$10:$O$76,COLUMN('Управленческий блок'!D:D)-1,FALSE)</f>
        <v>0</v>
      </c>
      <c r="E53" s="724">
        <f>VLOOKUP($B53,'Коммерческий отдел'!$B$10:$O$58,COLUMN('Коммерческий отдел'!E:E)-1,FALSE)+VLOOKUP($B53,'Технический отдел'!$B$10:$O$58,COLUMN('Технический отдел'!E:E)-1,FALSE)+VLOOKUP($B53,'Управленческий блок'!$B$10:$O$76,COLUMN('Управленческий блок'!E:E)-1,FALSE)</f>
        <v>0</v>
      </c>
      <c r="F53" s="724">
        <f>VLOOKUP($B53,'Коммерческий отдел'!$B$10:$O$58,COLUMN('Коммерческий отдел'!F:F)-1,FALSE)+VLOOKUP($B53,'Технический отдел'!$B$10:$O$58,COLUMN('Технический отдел'!F:F)-1,FALSE)+VLOOKUP($B53,'Управленческий блок'!$B$10:$O$76,COLUMN('Управленческий блок'!F:F)-1,FALSE)</f>
        <v>0</v>
      </c>
      <c r="G53" s="724">
        <f>VLOOKUP($B53,'Коммерческий отдел'!$B$10:$O$58,COLUMN('Коммерческий отдел'!G:G)-1,FALSE)+VLOOKUP($B53,'Технический отдел'!$B$10:$O$58,COLUMN('Технический отдел'!G:G)-1,FALSE)+VLOOKUP($B53,'Управленческий блок'!$B$10:$O$76,COLUMN('Управленческий блок'!G:G)-1,FALSE)</f>
        <v>0</v>
      </c>
      <c r="H53" s="724">
        <f>VLOOKUP($B53,'Коммерческий отдел'!$B$10:$O$58,COLUMN('Коммерческий отдел'!H:H)-1,FALSE)+VLOOKUP($B53,'Технический отдел'!$B$10:$O$58,COLUMN('Технический отдел'!H:H)-1,FALSE)+VLOOKUP($B53,'Управленческий блок'!$B$10:$O$76,COLUMN('Управленческий блок'!H:H)-1,FALSE)</f>
        <v>77288.13559322034</v>
      </c>
      <c r="I53" s="724">
        <f>VLOOKUP($B53,'Коммерческий отдел'!$B$10:$O$58,COLUMN('Коммерческий отдел'!I:I)-1,FALSE)+VLOOKUP($B53,'Технический отдел'!$B$10:$O$58,COLUMN('Технический отдел'!I:I)-1,FALSE)+VLOOKUP($B53,'Управленческий блок'!$B$10:$O$76,COLUMN('Управленческий блок'!I:I)-1,FALSE)</f>
        <v>108203.38983050847</v>
      </c>
      <c r="J53" s="724">
        <f>VLOOKUP($B53,'Коммерческий отдел'!$B$10:$O$58,COLUMN('Коммерческий отдел'!J:J)-1,FALSE)+VLOOKUP($B53,'Технический отдел'!$B$10:$O$58,COLUMN('Технический отдел'!J:J)-1,FALSE)+VLOOKUP($B53,'Управленческий блок'!$B$10:$O$76,COLUMN('Управленческий блок'!J:J)-1,FALSE)</f>
        <v>154576.2711864407</v>
      </c>
      <c r="K53" s="724">
        <f>VLOOKUP($B53,'Коммерческий отдел'!$B$10:$O$58,COLUMN('Коммерческий отдел'!K:K)-1,FALSE)+VLOOKUP($B53,'Технический отдел'!$B$10:$O$58,COLUMN('Технический отдел'!K:K)-1,FALSE)+VLOOKUP($B53,'Управленческий блок'!$B$10:$O$76,COLUMN('Управленческий блок'!K:K)-1,FALSE)</f>
        <v>128813.5593220339</v>
      </c>
      <c r="L53" s="724">
        <f>VLOOKUP($B53,'Коммерческий отдел'!$B$10:$O$58,COLUMN('Коммерческий отдел'!L:L)-1,FALSE)+VLOOKUP($B53,'Технический отдел'!$B$10:$O$58,COLUMN('Технический отдел'!L:L)-1,FALSE)+VLOOKUP($B53,'Управленческий блок'!$B$10:$O$76,COLUMN('Управленческий блок'!L:L)-1,FALSE)</f>
        <v>82440.6779661017</v>
      </c>
      <c r="M53" s="724">
        <f>VLOOKUP($B53,'Коммерческий отдел'!$B$10:$O$58,COLUMN('Коммерческий отдел'!M:M)-1,FALSE)+VLOOKUP($B53,'Технический отдел'!$B$10:$O$58,COLUMN('Технический отдел'!M:M)-1,FALSE)+VLOOKUP($B53,'Управленческий блок'!$B$10:$O$76,COLUMN('Управленческий блок'!M:M)-1,FALSE)</f>
        <v>0</v>
      </c>
      <c r="N53" s="724">
        <f>VLOOKUP($B53,'Коммерческий отдел'!$B$10:$O$58,COLUMN('Коммерческий отдел'!N:N)-1,FALSE)+VLOOKUP($B53,'Технический отдел'!$B$10:$O$58,COLUMN('Технический отдел'!N:N)-1,FALSE)+VLOOKUP($B53,'Управленческий блок'!$B$10:$O$76,COLUMN('Управленческий блок'!N:N)-1,FALSE)</f>
        <v>0</v>
      </c>
      <c r="O53" s="725">
        <f>VLOOKUP($B53,'Коммерческий отдел'!$B$10:$O$58,COLUMN('Коммерческий отдел'!O:O)-1,FALSE)+VLOOKUP($B53,'Технический отдел'!$B$10:$O$58,COLUMN('Технический отдел'!O:O)-1,FALSE)+VLOOKUP($B53,'Управленческий блок'!$B$10:$O$76,COLUMN('Управленческий блок'!O:O)-1,FALSE)</f>
        <v>0</v>
      </c>
      <c r="P53" s="8"/>
    </row>
    <row r="54" spans="1:16" ht="12.75" outlineLevel="1">
      <c r="A54" s="557"/>
      <c r="B54" s="460" t="s">
        <v>785</v>
      </c>
      <c r="C54" s="473" t="str">
        <f>VLOOKUP(B54,Справочники!$B:$F,3,FALSE)</f>
        <v>Прочие услуги </v>
      </c>
      <c r="D54" s="456">
        <f>VLOOKUP($B54,'Коммерческий отдел'!$B$10:$O$58,COLUMN('Коммерческий отдел'!D:D)-1,FALSE)+VLOOKUP($B54,'Технический отдел'!$B$10:$O$58,COLUMN('Технический отдел'!D:D)-1,FALSE)+VLOOKUP($B54,'Управленческий блок'!$B$10:$O$76,COLUMN('Управленческий блок'!D:D)-1,FALSE)</f>
        <v>0</v>
      </c>
      <c r="E54" s="724">
        <f>VLOOKUP($B54,'Коммерческий отдел'!$B$10:$O$58,COLUMN('Коммерческий отдел'!E:E)-1,FALSE)+VLOOKUP($B54,'Технический отдел'!$B$10:$O$58,COLUMN('Технический отдел'!E:E)-1,FALSE)+VLOOKUP($B54,'Управленческий блок'!$B$10:$O$76,COLUMN('Управленческий блок'!E:E)-1,FALSE)</f>
        <v>0</v>
      </c>
      <c r="F54" s="724">
        <f>VLOOKUP($B54,'Коммерческий отдел'!$B$10:$O$58,COLUMN('Коммерческий отдел'!F:F)-1,FALSE)+VLOOKUP($B54,'Технический отдел'!$B$10:$O$58,COLUMN('Технический отдел'!F:F)-1,FALSE)+VLOOKUP($B54,'Управленческий блок'!$B$10:$O$76,COLUMN('Управленческий блок'!F:F)-1,FALSE)</f>
        <v>0</v>
      </c>
      <c r="G54" s="724">
        <f>VLOOKUP($B54,'Коммерческий отдел'!$B$10:$O$58,COLUMN('Коммерческий отдел'!G:G)-1,FALSE)+VLOOKUP($B54,'Технический отдел'!$B$10:$O$58,COLUMN('Технический отдел'!G:G)-1,FALSE)+VLOOKUP($B54,'Управленческий блок'!$B$10:$O$76,COLUMN('Управленческий блок'!G:G)-1,FALSE)</f>
        <v>0</v>
      </c>
      <c r="H54" s="724">
        <f>VLOOKUP($B54,'Коммерческий отдел'!$B$10:$O$58,COLUMN('Коммерческий отдел'!H:H)-1,FALSE)+VLOOKUP($B54,'Технический отдел'!$B$10:$O$58,COLUMN('Технический отдел'!H:H)-1,FALSE)+VLOOKUP($B54,'Управленческий блок'!$B$10:$O$76,COLUMN('Управленческий блок'!H:H)-1,FALSE)</f>
        <v>0</v>
      </c>
      <c r="I54" s="724">
        <f>VLOOKUP($B54,'Коммерческий отдел'!$B$10:$O$58,COLUMN('Коммерческий отдел'!I:I)-1,FALSE)+VLOOKUP($B54,'Технический отдел'!$B$10:$O$58,COLUMN('Технический отдел'!I:I)-1,FALSE)+VLOOKUP($B54,'Управленческий блок'!$B$10:$O$76,COLUMN('Управленческий блок'!I:I)-1,FALSE)</f>
        <v>0</v>
      </c>
      <c r="J54" s="724">
        <f>VLOOKUP($B54,'Коммерческий отдел'!$B$10:$O$58,COLUMN('Коммерческий отдел'!J:J)-1,FALSE)+VLOOKUP($B54,'Технический отдел'!$B$10:$O$58,COLUMN('Технический отдел'!J:J)-1,FALSE)+VLOOKUP($B54,'Управленческий блок'!$B$10:$O$76,COLUMN('Управленческий блок'!J:J)-1,FALSE)</f>
        <v>0</v>
      </c>
      <c r="K54" s="724">
        <f>VLOOKUP($B54,'Коммерческий отдел'!$B$10:$O$58,COLUMN('Коммерческий отдел'!K:K)-1,FALSE)+VLOOKUP($B54,'Технический отдел'!$B$10:$O$58,COLUMN('Технический отдел'!K:K)-1,FALSE)+VLOOKUP($B54,'Управленческий блок'!$B$10:$O$76,COLUMN('Управленческий блок'!K:K)-1,FALSE)</f>
        <v>0</v>
      </c>
      <c r="L54" s="724">
        <f>VLOOKUP($B54,'Коммерческий отдел'!$B$10:$O$58,COLUMN('Коммерческий отдел'!L:L)-1,FALSE)+VLOOKUP($B54,'Технический отдел'!$B$10:$O$58,COLUMN('Технический отдел'!L:L)-1,FALSE)+VLOOKUP($B54,'Управленческий блок'!$B$10:$O$76,COLUMN('Управленческий блок'!L:L)-1,FALSE)</f>
        <v>0</v>
      </c>
      <c r="M54" s="724">
        <f>VLOOKUP($B54,'Коммерческий отдел'!$B$10:$O$58,COLUMN('Коммерческий отдел'!M:M)-1,FALSE)+VLOOKUP($B54,'Технический отдел'!$B$10:$O$58,COLUMN('Технический отдел'!M:M)-1,FALSE)+VLOOKUP($B54,'Управленческий блок'!$B$10:$O$76,COLUMN('Управленческий блок'!M:M)-1,FALSE)</f>
        <v>0</v>
      </c>
      <c r="N54" s="724">
        <f>VLOOKUP($B54,'Коммерческий отдел'!$B$10:$O$58,COLUMN('Коммерческий отдел'!N:N)-1,FALSE)+VLOOKUP($B54,'Технический отдел'!$B$10:$O$58,COLUMN('Технический отдел'!N:N)-1,FALSE)+VLOOKUP($B54,'Управленческий блок'!$B$10:$O$76,COLUMN('Управленческий блок'!N:N)-1,FALSE)</f>
        <v>0</v>
      </c>
      <c r="O54" s="725">
        <f>VLOOKUP($B54,'Коммерческий отдел'!$B$10:$O$58,COLUMN('Коммерческий отдел'!O:O)-1,FALSE)+VLOOKUP($B54,'Технический отдел'!$B$10:$O$58,COLUMN('Технический отдел'!O:O)-1,FALSE)+VLOOKUP($B54,'Управленческий блок'!$B$10:$O$76,COLUMN('Управленческий блок'!O:O)-1,FALSE)</f>
        <v>0</v>
      </c>
      <c r="P54" s="8"/>
    </row>
    <row r="55" spans="1:16" s="1" customFormat="1" ht="12.75">
      <c r="A55" s="674"/>
      <c r="B55" s="675" t="s">
        <v>320</v>
      </c>
      <c r="C55" s="462" t="str">
        <f>VLOOKUP(B55,Справочники!$B:$F,3,FALSE)</f>
        <v>Амортизационные отчисления</v>
      </c>
      <c r="D55" s="733">
        <f>SUM(D56:D57)</f>
        <v>138.22462867012092</v>
      </c>
      <c r="E55" s="470">
        <f aca="true" t="shared" si="7" ref="E55:O55">SUM(E56:E57)</f>
        <v>139.22462867012092</v>
      </c>
      <c r="F55" s="470">
        <f t="shared" si="7"/>
        <v>140.22462867012092</v>
      </c>
      <c r="G55" s="470">
        <f t="shared" si="7"/>
        <v>364.4759240069085</v>
      </c>
      <c r="H55" s="470">
        <f t="shared" si="7"/>
        <v>36568.898514680484</v>
      </c>
      <c r="I55" s="470">
        <f t="shared" si="7"/>
        <v>38368.898514680484</v>
      </c>
      <c r="J55" s="470">
        <f t="shared" si="7"/>
        <v>40568.898514680484</v>
      </c>
      <c r="K55" s="470">
        <f t="shared" si="7"/>
        <v>43168.898514680484</v>
      </c>
      <c r="L55" s="470">
        <f t="shared" si="7"/>
        <v>43168.898514680484</v>
      </c>
      <c r="M55" s="470">
        <f t="shared" si="7"/>
        <v>43168.898514680484</v>
      </c>
      <c r="N55" s="470">
        <f t="shared" si="7"/>
        <v>43168.898514680484</v>
      </c>
      <c r="O55" s="734">
        <f t="shared" si="7"/>
        <v>43168.898514680484</v>
      </c>
      <c r="P55" s="45"/>
    </row>
    <row r="56" spans="1:16" ht="12.75" outlineLevel="1">
      <c r="A56" s="739"/>
      <c r="B56" s="731" t="s">
        <v>321</v>
      </c>
      <c r="C56" s="473" t="str">
        <f>VLOOKUP(B56,Справочники!$B:$F,3,FALSE)</f>
        <v>Амортизация материальных активов</v>
      </c>
      <c r="D56" s="456">
        <f>'Расчет АМО'!D25</f>
        <v>107.39561312607945</v>
      </c>
      <c r="E56" s="724">
        <f>'Расчет АМО'!E25</f>
        <v>108.39561312607945</v>
      </c>
      <c r="F56" s="724">
        <f>'Расчет АМО'!F25</f>
        <v>109.39561312607945</v>
      </c>
      <c r="G56" s="724">
        <f>'Расчет АМО'!G25</f>
        <v>110.39561312607945</v>
      </c>
      <c r="H56" s="724">
        <f>'Расчет АМО'!H25</f>
        <v>445.5824525043178</v>
      </c>
      <c r="I56" s="724">
        <f>'Расчет АМО'!I25</f>
        <v>2245.5824525043176</v>
      </c>
      <c r="J56" s="724">
        <f>'Расчет АМО'!J25</f>
        <v>4445.582452504318</v>
      </c>
      <c r="K56" s="724">
        <f>'Расчет АМО'!K25</f>
        <v>7045.582452504318</v>
      </c>
      <c r="L56" s="724">
        <f>'Расчет АМО'!L25</f>
        <v>7045.582452504318</v>
      </c>
      <c r="M56" s="724">
        <f>'Расчет АМО'!M25</f>
        <v>7045.582452504318</v>
      </c>
      <c r="N56" s="724">
        <f>'Расчет АМО'!N25</f>
        <v>7045.582452504318</v>
      </c>
      <c r="O56" s="725">
        <f>'Расчет АМО'!O25</f>
        <v>7045.582452504318</v>
      </c>
      <c r="P56" s="8"/>
    </row>
    <row r="57" spans="1:16" ht="12.75" outlineLevel="1">
      <c r="A57" s="739"/>
      <c r="B57" s="731" t="s">
        <v>322</v>
      </c>
      <c r="C57" s="473" t="str">
        <f>VLOOKUP(B57,Справочники!$B:$F,3,FALSE)</f>
        <v>Амортизация нематериальных активов</v>
      </c>
      <c r="D57" s="456">
        <f>'Расчет АМО'!D36</f>
        <v>30.829015544041454</v>
      </c>
      <c r="E57" s="724">
        <f>'Расчет АМО'!E36</f>
        <v>30.829015544041454</v>
      </c>
      <c r="F57" s="724">
        <f>'Расчет АМО'!F36</f>
        <v>30.829015544041454</v>
      </c>
      <c r="G57" s="724">
        <f>'Расчет АМО'!G36</f>
        <v>254.08031088082905</v>
      </c>
      <c r="H57" s="724">
        <f>'Расчет АМО'!H36</f>
        <v>36123.31606217616</v>
      </c>
      <c r="I57" s="724">
        <f>'Расчет АМО'!I36</f>
        <v>36123.31606217616</v>
      </c>
      <c r="J57" s="724">
        <f>'Расчет АМО'!J36</f>
        <v>36123.31606217616</v>
      </c>
      <c r="K57" s="724">
        <f>'Расчет АМО'!K36</f>
        <v>36123.31606217616</v>
      </c>
      <c r="L57" s="724">
        <f>'Расчет АМО'!L36</f>
        <v>36123.31606217616</v>
      </c>
      <c r="M57" s="724">
        <f>'Расчет АМО'!M36</f>
        <v>36123.31606217616</v>
      </c>
      <c r="N57" s="724">
        <f>'Расчет АМО'!N36</f>
        <v>36123.31606217616</v>
      </c>
      <c r="O57" s="725">
        <f>'Расчет АМО'!O36</f>
        <v>36123.31606217616</v>
      </c>
      <c r="P57" s="8"/>
    </row>
    <row r="58" spans="1:16" s="1" customFormat="1" ht="12.75">
      <c r="A58" s="674"/>
      <c r="B58" s="675" t="s">
        <v>103</v>
      </c>
      <c r="C58" s="462" t="str">
        <f>VLOOKUP(B58,Справочники!$B:$F,3,FALSE)</f>
        <v>Налоги и сборы</v>
      </c>
      <c r="D58" s="733">
        <f aca="true" t="shared" si="8" ref="D58:O58">SUM(D59:D64)</f>
        <v>13425.95222746114</v>
      </c>
      <c r="E58" s="470">
        <f t="shared" si="8"/>
        <v>18448.28688292921</v>
      </c>
      <c r="F58" s="470">
        <f t="shared" si="8"/>
        <v>14821.809275611746</v>
      </c>
      <c r="G58" s="470">
        <f t="shared" si="8"/>
        <v>12137.70130981968</v>
      </c>
      <c r="H58" s="470">
        <f t="shared" si="8"/>
        <v>952459.4273999584</v>
      </c>
      <c r="I58" s="470">
        <f t="shared" si="8"/>
        <v>3349318.5119482656</v>
      </c>
      <c r="J58" s="470">
        <f t="shared" si="8"/>
        <v>6584726.916791936</v>
      </c>
      <c r="K58" s="470">
        <f t="shared" si="8"/>
        <v>38576.11706541149</v>
      </c>
      <c r="L58" s="470">
        <f t="shared" si="8"/>
        <v>820182.934984039</v>
      </c>
      <c r="M58" s="470">
        <f t="shared" si="8"/>
        <v>96121.96624066381</v>
      </c>
      <c r="N58" s="470">
        <f t="shared" si="8"/>
        <v>95465.79898323985</v>
      </c>
      <c r="O58" s="734">
        <f t="shared" si="8"/>
        <v>94809.63172581774</v>
      </c>
      <c r="P58" s="45"/>
    </row>
    <row r="59" spans="1:16" ht="12.75" outlineLevel="1">
      <c r="A59" s="739"/>
      <c r="B59" s="731" t="s">
        <v>104</v>
      </c>
      <c r="C59" s="740" t="str">
        <f>VLOOKUP(B59,Справочники!$B:$F,4,FALSE)</f>
        <v>Налог на доходы физических лиц (НДФЛ)</v>
      </c>
      <c r="D59" s="979">
        <f>Налоги!D66</f>
        <v>13002.6</v>
      </c>
      <c r="E59" s="980">
        <f>Налоги!E66</f>
        <v>13002.6</v>
      </c>
      <c r="F59" s="980">
        <f>Налоги!F66</f>
        <v>13002.6</v>
      </c>
      <c r="G59" s="980">
        <f>Налоги!G66</f>
        <v>13002.6</v>
      </c>
      <c r="H59" s="980">
        <f>Налоги!H66</f>
        <v>71675.5</v>
      </c>
      <c r="I59" s="980">
        <f>Налоги!I66</f>
        <v>78843.05</v>
      </c>
      <c r="J59" s="980">
        <f>Налоги!J66</f>
        <v>86727.355</v>
      </c>
      <c r="K59" s="980">
        <f>Налоги!K66</f>
        <v>95400.0905</v>
      </c>
      <c r="L59" s="980">
        <f>Налоги!L66</f>
        <v>95400.0905</v>
      </c>
      <c r="M59" s="980">
        <f>Налоги!M66</f>
        <v>95400.0905</v>
      </c>
      <c r="N59" s="980">
        <f>Налоги!N66</f>
        <v>95400.0905</v>
      </c>
      <c r="O59" s="981">
        <f>Налоги!O66</f>
        <v>95400.0905</v>
      </c>
      <c r="P59" s="8"/>
    </row>
    <row r="60" spans="1:16" ht="12.75" outlineLevel="1">
      <c r="A60" s="739"/>
      <c r="B60" s="731" t="s">
        <v>105</v>
      </c>
      <c r="C60" s="740" t="str">
        <f>VLOOKUP(B60,Справочники!$B:$F,3,FALSE)</f>
        <v>Налог на прибыль</v>
      </c>
      <c r="D60" s="979">
        <f>Налоги!D122</f>
        <v>0</v>
      </c>
      <c r="E60" s="980">
        <f>Налоги!E122</f>
        <v>5018.030778611418</v>
      </c>
      <c r="F60" s="980">
        <f>Налоги!F122</f>
        <v>1387.254294437308</v>
      </c>
      <c r="G60" s="980">
        <f>Налоги!G122</f>
        <v>-3100.0312917347237</v>
      </c>
      <c r="H60" s="980">
        <f>Налоги!H122</f>
        <v>552586.5087888038</v>
      </c>
      <c r="I60" s="980">
        <f>Налоги!I122</f>
        <v>2034618.325908454</v>
      </c>
      <c r="J60" s="980">
        <f>Налоги!J122</f>
        <v>3881453.1574314954</v>
      </c>
      <c r="K60" s="980">
        <f>Налоги!K122</f>
        <v>-323127.29257461894</v>
      </c>
      <c r="L60" s="980">
        <f>Налоги!L122</f>
        <v>-35308.98738717195</v>
      </c>
      <c r="M60" s="980">
        <f>Налоги!M122</f>
        <v>-36338.38684379216</v>
      </c>
      <c r="N60" s="980">
        <f>Налоги!N122</f>
        <v>-36131.17613092251</v>
      </c>
      <c r="O60" s="981">
        <f>Налоги!O122</f>
        <v>-35923.965418051</v>
      </c>
      <c r="P60" s="8"/>
    </row>
    <row r="61" spans="1:16" ht="12.75" outlineLevel="1">
      <c r="A61" s="739"/>
      <c r="B61" s="731" t="s">
        <v>106</v>
      </c>
      <c r="C61" s="740" t="str">
        <f>VLOOKUP(B61,Справочники!$B:$F,3,FALSE)</f>
        <v>Налог на добавленную стоимость</v>
      </c>
      <c r="D61" s="979">
        <f>НДС!D75</f>
        <v>0</v>
      </c>
      <c r="E61" s="980">
        <f>НДС!E75</f>
        <v>0</v>
      </c>
      <c r="F61" s="980">
        <f>НДС!F75</f>
        <v>0</v>
      </c>
      <c r="G61" s="980">
        <f>НДС!G75</f>
        <v>0</v>
      </c>
      <c r="H61" s="980">
        <f>НДС!H75</f>
        <v>319968.2661752305</v>
      </c>
      <c r="I61" s="980">
        <f>НДС!I75</f>
        <v>1219395.3615741814</v>
      </c>
      <c r="J61" s="980">
        <f>НДС!J75</f>
        <v>2589896.0078651044</v>
      </c>
      <c r="K61" s="980">
        <f>НДС!K75</f>
        <v>227516.30061498727</v>
      </c>
      <c r="L61" s="980">
        <f>НДС!L75</f>
        <v>722168.1913164614</v>
      </c>
      <c r="M61" s="980">
        <f>НДС!M75</f>
        <v>0</v>
      </c>
      <c r="N61" s="980">
        <f>НДС!N75</f>
        <v>0</v>
      </c>
      <c r="O61" s="981">
        <f>НДС!O75</f>
        <v>0</v>
      </c>
      <c r="P61" s="8"/>
    </row>
    <row r="62" spans="1:16" ht="12.75" outlineLevel="1">
      <c r="A62" s="739"/>
      <c r="B62" s="731" t="s">
        <v>521</v>
      </c>
      <c r="C62" s="740" t="str">
        <f>VLOOKUP(B62,Справочники!$B:$F,3,FALSE)</f>
        <v>Налог на имущество</v>
      </c>
      <c r="D62" s="979">
        <f>Налоги!D78</f>
        <v>423.35222746113993</v>
      </c>
      <c r="E62" s="980">
        <f>Налоги!E78</f>
        <v>427.65610431778936</v>
      </c>
      <c r="F62" s="980">
        <f>Налоги!F78</f>
        <v>431.95498117443873</v>
      </c>
      <c r="G62" s="980">
        <f>Налоги!G78</f>
        <v>2235.132601554404</v>
      </c>
      <c r="H62" s="980">
        <f>Налоги!H78</f>
        <v>8229.152435924007</v>
      </c>
      <c r="I62" s="980">
        <f>Налоги!I78</f>
        <v>16461.7744656304</v>
      </c>
      <c r="J62" s="980">
        <f>Налоги!J78</f>
        <v>26650.396495336787</v>
      </c>
      <c r="K62" s="980">
        <f>Налоги!K78</f>
        <v>38787.018525043175</v>
      </c>
      <c r="L62" s="980">
        <f>Налоги!L78</f>
        <v>37923.640554749574</v>
      </c>
      <c r="M62" s="980">
        <f>Налоги!M78</f>
        <v>37060.26258445596</v>
      </c>
      <c r="N62" s="980">
        <f>Налоги!N78</f>
        <v>36196.88461416235</v>
      </c>
      <c r="O62" s="981">
        <f>Налоги!O78</f>
        <v>35333.50664386874</v>
      </c>
      <c r="P62" s="8"/>
    </row>
    <row r="63" spans="1:16" ht="12.75" outlineLevel="1">
      <c r="A63" s="739"/>
      <c r="B63" s="731" t="s">
        <v>574</v>
      </c>
      <c r="C63" s="740" t="str">
        <f>VLOOKUP(B63,Справочники!$B:$F,4,FALSE)</f>
        <v>Налог на дивиденды</v>
      </c>
      <c r="D63" s="979">
        <f>Налоги!D87</f>
        <v>0</v>
      </c>
      <c r="E63" s="980">
        <f>Налоги!E87</f>
        <v>0</v>
      </c>
      <c r="F63" s="980">
        <f>Налоги!F87</f>
        <v>0</v>
      </c>
      <c r="G63" s="980">
        <f>Налоги!G87</f>
        <v>0</v>
      </c>
      <c r="H63" s="980">
        <f>Налоги!H87</f>
        <v>0</v>
      </c>
      <c r="I63" s="980">
        <f>Налоги!I87</f>
        <v>0</v>
      </c>
      <c r="J63" s="980">
        <f>Налоги!J87</f>
        <v>0</v>
      </c>
      <c r="K63" s="980">
        <f>Налоги!K87</f>
        <v>0</v>
      </c>
      <c r="L63" s="980">
        <f>Налоги!L87</f>
        <v>0</v>
      </c>
      <c r="M63" s="980">
        <f>Налоги!M87</f>
        <v>0</v>
      </c>
      <c r="N63" s="980">
        <f>Налоги!N87</f>
        <v>0</v>
      </c>
      <c r="O63" s="981">
        <f>Налоги!O87</f>
        <v>0</v>
      </c>
      <c r="P63" s="8"/>
    </row>
    <row r="64" spans="1:16" ht="12.75" outlineLevel="1">
      <c r="A64" s="739"/>
      <c r="B64" s="731" t="s">
        <v>578</v>
      </c>
      <c r="C64" s="740" t="str">
        <f>VLOOKUP(B64,Справочники!$B:$F,3,FALSE)</f>
        <v>Прочие налоги и сборы</v>
      </c>
      <c r="D64" s="979">
        <f>Налоги!D96</f>
        <v>0</v>
      </c>
      <c r="E64" s="980">
        <f>Налоги!E96</f>
        <v>0</v>
      </c>
      <c r="F64" s="980">
        <f>Налоги!F96</f>
        <v>0</v>
      </c>
      <c r="G64" s="980">
        <f>Налоги!G96</f>
        <v>0</v>
      </c>
      <c r="H64" s="980">
        <f>Налоги!H96</f>
        <v>0</v>
      </c>
      <c r="I64" s="980">
        <f>Налоги!I96</f>
        <v>0</v>
      </c>
      <c r="J64" s="980">
        <f>Налоги!J96</f>
        <v>0</v>
      </c>
      <c r="K64" s="980">
        <f>Налоги!K96</f>
        <v>0</v>
      </c>
      <c r="L64" s="980">
        <f>Налоги!L96</f>
        <v>0</v>
      </c>
      <c r="M64" s="980">
        <f>Налоги!M96</f>
        <v>0</v>
      </c>
      <c r="N64" s="980">
        <f>Налоги!N96</f>
        <v>0</v>
      </c>
      <c r="O64" s="981">
        <f>Налоги!O96</f>
        <v>0</v>
      </c>
      <c r="P64" s="8"/>
    </row>
    <row r="65" spans="1:16" s="1" customFormat="1" ht="12.75">
      <c r="A65" s="674"/>
      <c r="B65" s="675" t="s">
        <v>107</v>
      </c>
      <c r="C65" s="462" t="str">
        <f>VLOOKUP(B65,Справочники!$B:$F,3,FALSE)</f>
        <v>Расходы на финансирование</v>
      </c>
      <c r="D65" s="733">
        <f>SUM(D66:D68)</f>
        <v>2674</v>
      </c>
      <c r="E65" s="470">
        <f aca="true" t="shared" si="9" ref="E65:O65">SUM(E66:E68)</f>
        <v>2062.5074999999997</v>
      </c>
      <c r="F65" s="470">
        <f t="shared" si="9"/>
        <v>1374.8608299999999</v>
      </c>
      <c r="G65" s="470">
        <f t="shared" si="9"/>
        <v>687.95519</v>
      </c>
      <c r="H65" s="470">
        <f t="shared" si="9"/>
        <v>23313</v>
      </c>
      <c r="I65" s="470">
        <f t="shared" si="9"/>
        <v>10312.5</v>
      </c>
      <c r="J65" s="470">
        <f t="shared" si="9"/>
        <v>0</v>
      </c>
      <c r="K65" s="470">
        <f t="shared" si="9"/>
        <v>0</v>
      </c>
      <c r="L65" s="470">
        <f t="shared" si="9"/>
        <v>0</v>
      </c>
      <c r="M65" s="470">
        <f t="shared" si="9"/>
        <v>0</v>
      </c>
      <c r="N65" s="470">
        <f t="shared" si="9"/>
        <v>0</v>
      </c>
      <c r="O65" s="734">
        <f t="shared" si="9"/>
        <v>0</v>
      </c>
      <c r="P65" s="45"/>
    </row>
    <row r="66" spans="1:16" ht="12.75" outlineLevel="1">
      <c r="A66" s="739"/>
      <c r="B66" s="731" t="s">
        <v>108</v>
      </c>
      <c r="C66" s="740" t="str">
        <f>VLOOKUP(B66,Справочники!$B:$F,3,FALSE)</f>
        <v>Проценты по долгосрочным кредитам банков начисленные</v>
      </c>
      <c r="D66" s="456">
        <f>БФД!D32</f>
        <v>0</v>
      </c>
      <c r="E66" s="724">
        <f>БФД!E32</f>
        <v>0</v>
      </c>
      <c r="F66" s="724">
        <f>БФД!F32</f>
        <v>0</v>
      </c>
      <c r="G66" s="724">
        <f>БФД!G32</f>
        <v>0</v>
      </c>
      <c r="H66" s="724">
        <f>БФД!H32</f>
        <v>0</v>
      </c>
      <c r="I66" s="724">
        <f>БФД!I32</f>
        <v>0</v>
      </c>
      <c r="J66" s="724">
        <f>БФД!J32</f>
        <v>0</v>
      </c>
      <c r="K66" s="724">
        <f>БФД!K32</f>
        <v>0</v>
      </c>
      <c r="L66" s="724">
        <f>БФД!L32</f>
        <v>0</v>
      </c>
      <c r="M66" s="724">
        <f>БФД!M32</f>
        <v>0</v>
      </c>
      <c r="N66" s="724">
        <f>БФД!N32</f>
        <v>0</v>
      </c>
      <c r="O66" s="725">
        <f>БФД!O32</f>
        <v>0</v>
      </c>
      <c r="P66" s="8"/>
    </row>
    <row r="67" spans="1:16" ht="12.75" outlineLevel="1">
      <c r="A67" s="739"/>
      <c r="B67" s="731" t="s">
        <v>109</v>
      </c>
      <c r="C67" s="740" t="str">
        <f>VLOOKUP(B67,Справочники!$B:$F,3,FALSE)</f>
        <v>Проценты по краткосрочным кредитам банков начисленные</v>
      </c>
      <c r="D67" s="456">
        <f>БФД!D57</f>
        <v>2674</v>
      </c>
      <c r="E67" s="724">
        <f>БФД!E57</f>
        <v>2062.5074999999997</v>
      </c>
      <c r="F67" s="724">
        <f>БФД!F57</f>
        <v>1374.8608299999999</v>
      </c>
      <c r="G67" s="724">
        <f>БФД!G57</f>
        <v>687.95519</v>
      </c>
      <c r="H67" s="724">
        <f>БФД!H57</f>
        <v>23313</v>
      </c>
      <c r="I67" s="724">
        <f>БФД!I57</f>
        <v>10312.5</v>
      </c>
      <c r="J67" s="724">
        <f>БФД!J57</f>
        <v>0</v>
      </c>
      <c r="K67" s="724">
        <f>БФД!K57</f>
        <v>0</v>
      </c>
      <c r="L67" s="724">
        <f>БФД!L57</f>
        <v>0</v>
      </c>
      <c r="M67" s="724">
        <f>БФД!M57</f>
        <v>0</v>
      </c>
      <c r="N67" s="724">
        <f>БФД!N57</f>
        <v>0</v>
      </c>
      <c r="O67" s="725">
        <f>БФД!O57</f>
        <v>0</v>
      </c>
      <c r="P67" s="8"/>
    </row>
    <row r="68" spans="1:16" ht="12.75" outlineLevel="1">
      <c r="A68" s="739"/>
      <c r="B68" s="731" t="s">
        <v>525</v>
      </c>
      <c r="C68" s="740" t="str">
        <f>VLOOKUP(B68,Справочники!$B:$F,3,FALSE)</f>
        <v>Проценты по займам начисленные</v>
      </c>
      <c r="D68" s="456">
        <f>БФД!D90</f>
        <v>0</v>
      </c>
      <c r="E68" s="724">
        <f>БФД!E90</f>
        <v>0</v>
      </c>
      <c r="F68" s="724">
        <f>БФД!F90</f>
        <v>0</v>
      </c>
      <c r="G68" s="724">
        <f>БФД!G90</f>
        <v>0</v>
      </c>
      <c r="H68" s="724">
        <f>БФД!H90</f>
        <v>0</v>
      </c>
      <c r="I68" s="724">
        <f>БФД!I90</f>
        <v>0</v>
      </c>
      <c r="J68" s="724">
        <f>БФД!J90</f>
        <v>0</v>
      </c>
      <c r="K68" s="724">
        <f>БФД!K90</f>
        <v>0</v>
      </c>
      <c r="L68" s="724">
        <f>БФД!L90</f>
        <v>0</v>
      </c>
      <c r="M68" s="724">
        <f>БФД!M90</f>
        <v>0</v>
      </c>
      <c r="N68" s="724">
        <f>БФД!N90</f>
        <v>0</v>
      </c>
      <c r="O68" s="725">
        <f>БФД!O90</f>
        <v>0</v>
      </c>
      <c r="P68" s="8"/>
    </row>
    <row r="69" spans="1:16" s="1" customFormat="1" ht="12.75">
      <c r="A69" s="674"/>
      <c r="B69" s="675" t="s">
        <v>110</v>
      </c>
      <c r="C69" s="677" t="str">
        <f>VLOOKUP(B69,Справочники!$B:$F,3,FALSE)</f>
        <v>Социальные расходы и расходы на развитие персонала</v>
      </c>
      <c r="D69" s="733">
        <f>SUM(D70:D73)</f>
        <v>1860</v>
      </c>
      <c r="E69" s="470">
        <f aca="true" t="shared" si="10" ref="E69:O69">SUM(E70:E73)</f>
        <v>1860</v>
      </c>
      <c r="F69" s="470">
        <f t="shared" si="10"/>
        <v>450</v>
      </c>
      <c r="G69" s="470">
        <f t="shared" si="10"/>
        <v>4950</v>
      </c>
      <c r="H69" s="470">
        <f t="shared" si="10"/>
        <v>7500</v>
      </c>
      <c r="I69" s="470">
        <f t="shared" si="10"/>
        <v>8000</v>
      </c>
      <c r="J69" s="470">
        <f t="shared" si="10"/>
        <v>9000</v>
      </c>
      <c r="K69" s="470">
        <f t="shared" si="10"/>
        <v>9500</v>
      </c>
      <c r="L69" s="470">
        <f t="shared" si="10"/>
        <v>0</v>
      </c>
      <c r="M69" s="470">
        <f t="shared" si="10"/>
        <v>0</v>
      </c>
      <c r="N69" s="470">
        <f t="shared" si="10"/>
        <v>0</v>
      </c>
      <c r="O69" s="734">
        <f t="shared" si="10"/>
        <v>0</v>
      </c>
      <c r="P69" s="45"/>
    </row>
    <row r="70" spans="1:16" ht="12.75" outlineLevel="1">
      <c r="A70" s="739"/>
      <c r="B70" s="731" t="s">
        <v>111</v>
      </c>
      <c r="C70" s="740" t="str">
        <f>VLOOKUP(B70,Справочники!$B:$F,3,FALSE)</f>
        <v>Социальные выплаты и льготы</v>
      </c>
      <c r="D70" s="456">
        <f>VLOOKUP($B70,'Управленческий блок'!$B$10:$O$76,COLUMN('Управленческий блок'!D:D)-1,FALSE)</f>
        <v>0</v>
      </c>
      <c r="E70" s="724">
        <f>VLOOKUP($B70,'Управленческий блок'!$B$10:$O$76,COLUMN('Управленческий блок'!E:E)-1,FALSE)</f>
        <v>0</v>
      </c>
      <c r="F70" s="724">
        <f>VLOOKUP($B70,'Управленческий блок'!$B$10:$O$76,COLUMN('Управленческий блок'!F:F)-1,FALSE)</f>
        <v>0</v>
      </c>
      <c r="G70" s="724">
        <f>VLOOKUP($B70,'Управленческий блок'!$B$10:$O$76,COLUMN('Управленческий блок'!G:G)-1,FALSE)</f>
        <v>0</v>
      </c>
      <c r="H70" s="724">
        <f>VLOOKUP($B70,'Управленческий блок'!$B$10:$O$76,COLUMN('Управленческий блок'!H:H)-1,FALSE)</f>
        <v>0</v>
      </c>
      <c r="I70" s="724">
        <f>VLOOKUP($B70,'Управленческий блок'!$B$10:$O$76,COLUMN('Управленческий блок'!I:I)-1,FALSE)</f>
        <v>0</v>
      </c>
      <c r="J70" s="724">
        <f>VLOOKUP($B70,'Управленческий блок'!$B$10:$O$76,COLUMN('Управленческий блок'!J:J)-1,FALSE)</f>
        <v>0</v>
      </c>
      <c r="K70" s="724">
        <f>VLOOKUP($B70,'Управленческий блок'!$B$10:$O$76,COLUMN('Управленческий блок'!K:K)-1,FALSE)</f>
        <v>0</v>
      </c>
      <c r="L70" s="724">
        <f>VLOOKUP($B70,'Управленческий блок'!$B$10:$O$76,COLUMN('Управленческий блок'!L:L)-1,FALSE)</f>
        <v>0</v>
      </c>
      <c r="M70" s="724">
        <f>VLOOKUP($B70,'Управленческий блок'!$B$10:$O$76,COLUMN('Управленческий блок'!M:M)-1,FALSE)</f>
        <v>0</v>
      </c>
      <c r="N70" s="724">
        <f>VLOOKUP($B70,'Управленческий блок'!$B$10:$O$76,COLUMN('Управленческий блок'!N:N)-1,FALSE)</f>
        <v>0</v>
      </c>
      <c r="O70" s="725">
        <f>VLOOKUP($B70,'Управленческий блок'!$B$10:$O$76,COLUMN('Управленческий блок'!O:O)-1,FALSE)</f>
        <v>0</v>
      </c>
      <c r="P70" s="8"/>
    </row>
    <row r="71" spans="1:16" ht="12.75" outlineLevel="1">
      <c r="A71" s="739"/>
      <c r="B71" s="731" t="s">
        <v>112</v>
      </c>
      <c r="C71" s="740" t="str">
        <f>VLOOKUP(B71,Справочники!$B:$F,3,FALSE)</f>
        <v>Корпоративные мероприятия</v>
      </c>
      <c r="D71" s="456">
        <f>VLOOKUP($B71,'Управленческий блок'!$B$10:$O$76,COLUMN('Управленческий блок'!D:D)-1,FALSE)</f>
        <v>0</v>
      </c>
      <c r="E71" s="724">
        <f>VLOOKUP($B71,'Управленческий блок'!$B$10:$O$76,COLUMN('Управленческий блок'!E:E)-1,FALSE)</f>
        <v>0</v>
      </c>
      <c r="F71" s="724">
        <f>VLOOKUP($B71,'Управленческий блок'!$B$10:$O$76,COLUMN('Управленческий блок'!F:F)-1,FALSE)</f>
        <v>0</v>
      </c>
      <c r="G71" s="724">
        <f>VLOOKUP($B71,'Управленческий блок'!$B$10:$O$76,COLUMN('Управленческий блок'!G:G)-1,FALSE)</f>
        <v>4500</v>
      </c>
      <c r="H71" s="724">
        <f>VLOOKUP($B71,'Управленческий блок'!$B$10:$O$76,COLUMN('Управленческий блок'!H:H)-1,FALSE)</f>
        <v>6000</v>
      </c>
      <c r="I71" s="724">
        <f>VLOOKUP($B71,'Управленческий блок'!$B$10:$O$76,COLUMN('Управленческий блок'!I:I)-1,FALSE)</f>
        <v>6000</v>
      </c>
      <c r="J71" s="724">
        <f>VLOOKUP($B71,'Управленческий блок'!$B$10:$O$76,COLUMN('Управленческий блок'!J:J)-1,FALSE)</f>
        <v>6500</v>
      </c>
      <c r="K71" s="724">
        <f>VLOOKUP($B71,'Управленческий блок'!$B$10:$O$76,COLUMN('Управленческий блок'!K:K)-1,FALSE)</f>
        <v>6500</v>
      </c>
      <c r="L71" s="724">
        <f>VLOOKUP($B71,'Управленческий блок'!$B$10:$O$76,COLUMN('Управленческий блок'!L:L)-1,FALSE)</f>
        <v>0</v>
      </c>
      <c r="M71" s="724">
        <f>VLOOKUP($B71,'Управленческий блок'!$B$10:$O$76,COLUMN('Управленческий блок'!M:M)-1,FALSE)</f>
        <v>0</v>
      </c>
      <c r="N71" s="724">
        <f>VLOOKUP($B71,'Управленческий блок'!$B$10:$O$76,COLUMN('Управленческий блок'!N:N)-1,FALSE)</f>
        <v>0</v>
      </c>
      <c r="O71" s="725">
        <f>VLOOKUP($B71,'Управленческий блок'!$B$10:$O$76,COLUMN('Управленческий блок'!O:O)-1,FALSE)</f>
        <v>0</v>
      </c>
      <c r="P71" s="8"/>
    </row>
    <row r="72" spans="1:16" ht="12.75" outlineLevel="1">
      <c r="A72" s="739"/>
      <c r="B72" s="731" t="s">
        <v>113</v>
      </c>
      <c r="C72" s="740" t="str">
        <f>VLOOKUP(B72,Справочники!$B:$F,3,FALSE)</f>
        <v>Обучение и развитие персонала</v>
      </c>
      <c r="D72" s="456">
        <f>VLOOKUP($B72,'Управленческий блок'!$B$10:$O$76,COLUMN('Управленческий блок'!D:D)-1,FALSE)</f>
        <v>1860</v>
      </c>
      <c r="E72" s="724">
        <f>VLOOKUP($B72,'Управленческий блок'!$B$10:$O$76,COLUMN('Управленческий блок'!E:E)-1,FALSE)</f>
        <v>1860</v>
      </c>
      <c r="F72" s="724">
        <f>VLOOKUP($B72,'Управленческий блок'!$B$10:$O$76,COLUMN('Управленческий блок'!F:F)-1,FALSE)</f>
        <v>450</v>
      </c>
      <c r="G72" s="724">
        <f>VLOOKUP($B72,'Управленческий блок'!$B$10:$O$76,COLUMN('Управленческий блок'!G:G)-1,FALSE)</f>
        <v>450</v>
      </c>
      <c r="H72" s="724">
        <f>VLOOKUP($B72,'Управленческий блок'!$B$10:$O$76,COLUMN('Управленческий блок'!H:H)-1,FALSE)</f>
        <v>1500</v>
      </c>
      <c r="I72" s="724">
        <f>VLOOKUP($B72,'Управленческий блок'!$B$10:$O$76,COLUMN('Управленческий блок'!I:I)-1,FALSE)</f>
        <v>2000</v>
      </c>
      <c r="J72" s="724">
        <f>VLOOKUP($B72,'Управленческий блок'!$B$10:$O$76,COLUMN('Управленческий блок'!J:J)-1,FALSE)</f>
        <v>2500</v>
      </c>
      <c r="K72" s="724">
        <f>VLOOKUP($B72,'Управленческий блок'!$B$10:$O$76,COLUMN('Управленческий блок'!K:K)-1,FALSE)</f>
        <v>3000</v>
      </c>
      <c r="L72" s="724">
        <f>VLOOKUP($B72,'Управленческий блок'!$B$10:$O$76,COLUMN('Управленческий блок'!L:L)-1,FALSE)</f>
        <v>0</v>
      </c>
      <c r="M72" s="724">
        <f>VLOOKUP($B72,'Управленческий блок'!$B$10:$O$76,COLUMN('Управленческий блок'!M:M)-1,FALSE)</f>
        <v>0</v>
      </c>
      <c r="N72" s="724">
        <f>VLOOKUP($B72,'Управленческий блок'!$B$10:$O$76,COLUMN('Управленческий блок'!N:N)-1,FALSE)</f>
        <v>0</v>
      </c>
      <c r="O72" s="725">
        <f>VLOOKUP($B72,'Управленческий блок'!$B$10:$O$76,COLUMN('Управленческий блок'!O:O)-1,FALSE)</f>
        <v>0</v>
      </c>
      <c r="P72" s="8"/>
    </row>
    <row r="73" spans="1:16" ht="12.75" outlineLevel="1">
      <c r="A73" s="739"/>
      <c r="B73" s="731" t="s">
        <v>114</v>
      </c>
      <c r="C73" s="740" t="str">
        <f>VLOOKUP(B73,Справочники!$B:$F,3,FALSE)</f>
        <v>Прочие расходы на персонал</v>
      </c>
      <c r="D73" s="456">
        <f>VLOOKUP($B73,'Управленческий блок'!$B$10:$O$76,COLUMN('Управленческий блок'!D:D)-1,FALSE)</f>
        <v>0</v>
      </c>
      <c r="E73" s="724">
        <f>VLOOKUP($B73,'Управленческий блок'!$B$10:$O$76,COLUMN('Управленческий блок'!E:E)-1,FALSE)</f>
        <v>0</v>
      </c>
      <c r="F73" s="724">
        <f>VLOOKUP($B73,'Управленческий блок'!$B$10:$O$76,COLUMN('Управленческий блок'!F:F)-1,FALSE)</f>
        <v>0</v>
      </c>
      <c r="G73" s="724">
        <f>VLOOKUP($B73,'Управленческий блок'!$B$10:$O$76,COLUMN('Управленческий блок'!G:G)-1,FALSE)</f>
        <v>0</v>
      </c>
      <c r="H73" s="724">
        <f>VLOOKUP($B73,'Управленческий блок'!$B$10:$O$76,COLUMN('Управленческий блок'!H:H)-1,FALSE)</f>
        <v>0</v>
      </c>
      <c r="I73" s="724">
        <f>VLOOKUP($B73,'Управленческий блок'!$B$10:$O$76,COLUMN('Управленческий блок'!I:I)-1,FALSE)</f>
        <v>0</v>
      </c>
      <c r="J73" s="724">
        <f>VLOOKUP($B73,'Управленческий блок'!$B$10:$O$76,COLUMN('Управленческий блок'!J:J)-1,FALSE)</f>
        <v>0</v>
      </c>
      <c r="K73" s="724">
        <f>VLOOKUP($B73,'Управленческий блок'!$B$10:$O$76,COLUMN('Управленческий блок'!K:K)-1,FALSE)</f>
        <v>0</v>
      </c>
      <c r="L73" s="724">
        <f>VLOOKUP($B73,'Управленческий блок'!$B$10:$O$76,COLUMN('Управленческий блок'!L:L)-1,FALSE)</f>
        <v>0</v>
      </c>
      <c r="M73" s="724">
        <f>VLOOKUP($B73,'Управленческий блок'!$B$10:$O$76,COLUMN('Управленческий блок'!M:M)-1,FALSE)</f>
        <v>0</v>
      </c>
      <c r="N73" s="724">
        <f>VLOOKUP($B73,'Управленческий блок'!$B$10:$O$76,COLUMN('Управленческий блок'!N:N)-1,FALSE)</f>
        <v>0</v>
      </c>
      <c r="O73" s="725">
        <f>VLOOKUP($B73,'Управленческий блок'!$B$10:$O$76,COLUMN('Управленческий блок'!O:O)-1,FALSE)</f>
        <v>0</v>
      </c>
      <c r="P73" s="8"/>
    </row>
    <row r="74" spans="1:16" s="1" customFormat="1" ht="12.75">
      <c r="A74" s="674"/>
      <c r="B74" s="675" t="s">
        <v>115</v>
      </c>
      <c r="C74" s="462" t="str">
        <f>VLOOKUP(B74,Справочники!$B:$F,3,FALSE)</f>
        <v>Прочие расходы</v>
      </c>
      <c r="D74" s="733">
        <f aca="true" t="shared" si="11" ref="D74:O74">SUM(D75:D81)</f>
        <v>9000</v>
      </c>
      <c r="E74" s="470">
        <f t="shared" si="11"/>
        <v>10000</v>
      </c>
      <c r="F74" s="470">
        <f t="shared" si="11"/>
        <v>14000</v>
      </c>
      <c r="G74" s="470">
        <f t="shared" si="11"/>
        <v>23000</v>
      </c>
      <c r="H74" s="470">
        <f t="shared" si="11"/>
        <v>90000</v>
      </c>
      <c r="I74" s="470">
        <f t="shared" si="11"/>
        <v>100000</v>
      </c>
      <c r="J74" s="470">
        <f t="shared" si="11"/>
        <v>110500</v>
      </c>
      <c r="K74" s="470">
        <f t="shared" si="11"/>
        <v>66550</v>
      </c>
      <c r="L74" s="470">
        <f t="shared" si="11"/>
        <v>0</v>
      </c>
      <c r="M74" s="470">
        <f t="shared" si="11"/>
        <v>0</v>
      </c>
      <c r="N74" s="470">
        <f t="shared" si="11"/>
        <v>0</v>
      </c>
      <c r="O74" s="734">
        <f t="shared" si="11"/>
        <v>0</v>
      </c>
      <c r="P74" s="45"/>
    </row>
    <row r="75" spans="1:16" ht="12.75" outlineLevel="1">
      <c r="A75" s="557"/>
      <c r="B75" s="731" t="s">
        <v>116</v>
      </c>
      <c r="C75" s="473" t="str">
        <f>VLOOKUP(B75,Справочники!$B:$F,3,FALSE)</f>
        <v>Судебные расходы и арбитражные сборы</v>
      </c>
      <c r="D75" s="456">
        <f>VLOOKUP($B75,'Коммерческий отдел'!$B$10:$O$58,COLUMN('Коммерческий отдел'!D:D)-1,FALSE)+VLOOKUP($B75,'Технический отдел'!$B$10:$O$58,COLUMN('Технический отдел'!D:D)-1,FALSE)+VLOOKUP($B75,'Управленческий блок'!$B$10:$O$76,COLUMN('Управленческий блок'!D:D)-1,FALSE)</f>
        <v>0</v>
      </c>
      <c r="E75" s="724">
        <f>VLOOKUP($B75,'Коммерческий отдел'!$B$10:$O$58,COLUMN('Коммерческий отдел'!E:E)-1,FALSE)+VLOOKUP($B75,'Технический отдел'!$B$10:$O$58,COLUMN('Технический отдел'!E:E)-1,FALSE)+VLOOKUP($B75,'Управленческий блок'!$B$10:$O$76,COLUMN('Управленческий блок'!E:E)-1,FALSE)</f>
        <v>0</v>
      </c>
      <c r="F75" s="724">
        <f>VLOOKUP($B75,'Коммерческий отдел'!$B$10:$O$58,COLUMN('Коммерческий отдел'!F:F)-1,FALSE)+VLOOKUP($B75,'Технический отдел'!$B$10:$O$58,COLUMN('Технический отдел'!F:F)-1,FALSE)+VLOOKUP($B75,'Управленческий блок'!$B$10:$O$76,COLUMN('Управленческий блок'!F:F)-1,FALSE)</f>
        <v>0</v>
      </c>
      <c r="G75" s="724">
        <f>VLOOKUP($B75,'Коммерческий отдел'!$B$10:$O$58,COLUMN('Коммерческий отдел'!G:G)-1,FALSE)+VLOOKUP($B75,'Технический отдел'!$B$10:$O$58,COLUMN('Технический отдел'!G:G)-1,FALSE)+VLOOKUP($B75,'Управленческий блок'!$B$10:$O$76,COLUMN('Управленческий блок'!G:G)-1,FALSE)</f>
        <v>0</v>
      </c>
      <c r="H75" s="724">
        <f>VLOOKUP($B75,'Коммерческий отдел'!$B$10:$O$58,COLUMN('Коммерческий отдел'!H:H)-1,FALSE)+VLOOKUP($B75,'Технический отдел'!$B$10:$O$58,COLUMN('Технический отдел'!H:H)-1,FALSE)+VLOOKUP($B75,'Управленческий блок'!$B$10:$O$76,COLUMN('Управленческий блок'!H:H)-1,FALSE)</f>
        <v>0</v>
      </c>
      <c r="I75" s="724">
        <f>VLOOKUP($B75,'Коммерческий отдел'!$B$10:$O$58,COLUMN('Коммерческий отдел'!I:I)-1,FALSE)+VLOOKUP($B75,'Технический отдел'!$B$10:$O$58,COLUMN('Технический отдел'!I:I)-1,FALSE)+VLOOKUP($B75,'Управленческий блок'!$B$10:$O$76,COLUMN('Управленческий блок'!I:I)-1,FALSE)</f>
        <v>0</v>
      </c>
      <c r="J75" s="724">
        <f>VLOOKUP($B75,'Коммерческий отдел'!$B$10:$O$58,COLUMN('Коммерческий отдел'!J:J)-1,FALSE)+VLOOKUP($B75,'Технический отдел'!$B$10:$O$58,COLUMN('Технический отдел'!J:J)-1,FALSE)+VLOOKUP($B75,'Управленческий блок'!$B$10:$O$76,COLUMN('Управленческий блок'!J:J)-1,FALSE)</f>
        <v>0</v>
      </c>
      <c r="K75" s="724">
        <f>VLOOKUP($B75,'Коммерческий отдел'!$B$10:$O$58,COLUMN('Коммерческий отдел'!K:K)-1,FALSE)+VLOOKUP($B75,'Технический отдел'!$B$10:$O$58,COLUMN('Технический отдел'!K:K)-1,FALSE)+VLOOKUP($B75,'Управленческий блок'!$B$10:$O$76,COLUMN('Управленческий блок'!K:K)-1,FALSE)</f>
        <v>0</v>
      </c>
      <c r="L75" s="724">
        <f>VLOOKUP($B75,'Коммерческий отдел'!$B$10:$O$58,COLUMN('Коммерческий отдел'!L:L)-1,FALSE)+VLOOKUP($B75,'Технический отдел'!$B$10:$O$58,COLUMN('Технический отдел'!L:L)-1,FALSE)+VLOOKUP($B75,'Управленческий блок'!$B$10:$O$76,COLUMN('Управленческий блок'!L:L)-1,FALSE)</f>
        <v>0</v>
      </c>
      <c r="M75" s="724">
        <f>VLOOKUP($B75,'Коммерческий отдел'!$B$10:$O$58,COLUMN('Коммерческий отдел'!M:M)-1,FALSE)+VLOOKUP($B75,'Технический отдел'!$B$10:$O$58,COLUMN('Технический отдел'!M:M)-1,FALSE)+VLOOKUP($B75,'Управленческий блок'!$B$10:$O$76,COLUMN('Управленческий блок'!M:M)-1,FALSE)</f>
        <v>0</v>
      </c>
      <c r="N75" s="724">
        <f>VLOOKUP($B75,'Коммерческий отдел'!$B$10:$O$58,COLUMN('Коммерческий отдел'!N:N)-1,FALSE)+VLOOKUP($B75,'Технический отдел'!$B$10:$O$58,COLUMN('Технический отдел'!N:N)-1,FALSE)+VLOOKUP($B75,'Управленческий блок'!$B$10:$O$76,COLUMN('Управленческий блок'!N:N)-1,FALSE)</f>
        <v>0</v>
      </c>
      <c r="O75" s="725">
        <f>VLOOKUP($B75,'Коммерческий отдел'!$B$10:$O$58,COLUMN('Коммерческий отдел'!O:O)-1,FALSE)+VLOOKUP($B75,'Технический отдел'!$B$10:$O$58,COLUMN('Технический отдел'!O:O)-1,FALSE)+VLOOKUP($B75,'Управленческий блок'!$B$10:$O$76,COLUMN('Управленческий блок'!O:O)-1,FALSE)</f>
        <v>0</v>
      </c>
      <c r="P75" s="8"/>
    </row>
    <row r="76" spans="1:16" ht="12.75" outlineLevel="1">
      <c r="A76" s="557"/>
      <c r="B76" s="731" t="s">
        <v>118</v>
      </c>
      <c r="C76" s="473" t="str">
        <f>VLOOKUP(B76,Справочники!$B:$F,3,FALSE)</f>
        <v>Командировочные расходы</v>
      </c>
      <c r="D76" s="456">
        <f>VLOOKUP($B76,'Коммерческий отдел'!$B$10:$O$58,COLUMN('Коммерческий отдел'!D:D)-1,FALSE)+VLOOKUP($B76,'Технический отдел'!$B$10:$O$58,COLUMN('Технический отдел'!D:D)-1,FALSE)+VLOOKUP($B76,'Управленческий блок'!$B$10:$O$76,COLUMN('Управленческий блок'!D:D)-1,FALSE)</f>
        <v>4000</v>
      </c>
      <c r="E76" s="724">
        <f>VLOOKUP($B76,'Коммерческий отдел'!$B$10:$O$58,COLUMN('Коммерческий отдел'!E:E)-1,FALSE)+VLOOKUP($B76,'Технический отдел'!$B$10:$O$58,COLUMN('Технический отдел'!E:E)-1,FALSE)+VLOOKUP($B76,'Управленческий блок'!$B$10:$O$76,COLUMN('Управленческий блок'!E:E)-1,FALSE)</f>
        <v>5000</v>
      </c>
      <c r="F76" s="724">
        <f>VLOOKUP($B76,'Коммерческий отдел'!$B$10:$O$58,COLUMN('Коммерческий отдел'!F:F)-1,FALSE)+VLOOKUP($B76,'Технический отдел'!$B$10:$O$58,COLUMN('Технический отдел'!F:F)-1,FALSE)+VLOOKUP($B76,'Управленческий блок'!$B$10:$O$76,COLUMN('Управленческий блок'!F:F)-1,FALSE)</f>
        <v>9000</v>
      </c>
      <c r="G76" s="724">
        <f>VLOOKUP($B76,'Коммерческий отдел'!$B$10:$O$58,COLUMN('Коммерческий отдел'!G:G)-1,FALSE)+VLOOKUP($B76,'Технический отдел'!$B$10:$O$58,COLUMN('Технический отдел'!G:G)-1,FALSE)+VLOOKUP($B76,'Управленческий блок'!$B$10:$O$76,COLUMN('Управленческий блок'!G:G)-1,FALSE)</f>
        <v>18000</v>
      </c>
      <c r="H76" s="724">
        <f>VLOOKUP($B76,'Коммерческий отдел'!$B$10:$O$58,COLUMN('Коммерческий отдел'!H:H)-1,FALSE)+VLOOKUP($B76,'Технический отдел'!$B$10:$O$58,COLUMN('Технический отдел'!H:H)-1,FALSE)+VLOOKUP($B76,'Управленческий блок'!$B$10:$O$76,COLUMN('Управленческий блок'!H:H)-1,FALSE)</f>
        <v>50000</v>
      </c>
      <c r="I76" s="724">
        <f>VLOOKUP($B76,'Коммерческий отдел'!$B$10:$O$58,COLUMN('Коммерческий отдел'!I:I)-1,FALSE)+VLOOKUP($B76,'Технический отдел'!$B$10:$O$58,COLUMN('Технический отдел'!I:I)-1,FALSE)+VLOOKUP($B76,'Управленческий блок'!$B$10:$O$76,COLUMN('Управленческий блок'!I:I)-1,FALSE)</f>
        <v>55000</v>
      </c>
      <c r="J76" s="724">
        <f>VLOOKUP($B76,'Коммерческий отдел'!$B$10:$O$58,COLUMN('Коммерческий отдел'!J:J)-1,FALSE)+VLOOKUP($B76,'Технический отдел'!$B$10:$O$58,COLUMN('Технический отдел'!J:J)-1,FALSE)+VLOOKUP($B76,'Управленческий блок'!$B$10:$O$76,COLUMN('Управленческий блок'!J:J)-1,FALSE)</f>
        <v>60500</v>
      </c>
      <c r="K76" s="724">
        <f>VLOOKUP($B76,'Коммерческий отдел'!$B$10:$O$58,COLUMN('Коммерческий отдел'!K:K)-1,FALSE)+VLOOKUP($B76,'Технический отдел'!$B$10:$O$58,COLUMN('Технический отдел'!K:K)-1,FALSE)+VLOOKUP($B76,'Управленческий блок'!$B$10:$O$76,COLUMN('Управленческий блок'!K:K)-1,FALSE)</f>
        <v>66550</v>
      </c>
      <c r="L76" s="724">
        <f>VLOOKUP($B76,'Коммерческий отдел'!$B$10:$O$58,COLUMN('Коммерческий отдел'!L:L)-1,FALSE)+VLOOKUP($B76,'Технический отдел'!$B$10:$O$58,COLUMN('Технический отдел'!L:L)-1,FALSE)+VLOOKUP($B76,'Управленческий блок'!$B$10:$O$76,COLUMN('Управленческий блок'!L:L)-1,FALSE)</f>
        <v>0</v>
      </c>
      <c r="M76" s="724">
        <f>VLOOKUP($B76,'Коммерческий отдел'!$B$10:$O$58,COLUMN('Коммерческий отдел'!M:M)-1,FALSE)+VLOOKUP($B76,'Технический отдел'!$B$10:$O$58,COLUMN('Технический отдел'!M:M)-1,FALSE)+VLOOKUP($B76,'Управленческий блок'!$B$10:$O$76,COLUMN('Управленческий блок'!M:M)-1,FALSE)</f>
        <v>0</v>
      </c>
      <c r="N76" s="724">
        <f>VLOOKUP($B76,'Коммерческий отдел'!$B$10:$O$58,COLUMN('Коммерческий отдел'!N:N)-1,FALSE)+VLOOKUP($B76,'Технический отдел'!$B$10:$O$58,COLUMN('Технический отдел'!N:N)-1,FALSE)+VLOOKUP($B76,'Управленческий блок'!$B$10:$O$76,COLUMN('Управленческий блок'!N:N)-1,FALSE)</f>
        <v>0</v>
      </c>
      <c r="O76" s="725">
        <f>VLOOKUP($B76,'Коммерческий отдел'!$B$10:$O$58,COLUMN('Коммерческий отдел'!O:O)-1,FALSE)+VLOOKUP($B76,'Технический отдел'!$B$10:$O$58,COLUMN('Технический отдел'!O:O)-1,FALSE)+VLOOKUP($B76,'Управленческий блок'!$B$10:$O$76,COLUMN('Управленческий блок'!O:O)-1,FALSE)</f>
        <v>0</v>
      </c>
      <c r="P76" s="8"/>
    </row>
    <row r="77" spans="1:16" ht="12.75" outlineLevel="1">
      <c r="A77" s="557"/>
      <c r="B77" s="731" t="s">
        <v>119</v>
      </c>
      <c r="C77" s="473" t="str">
        <f>VLOOKUP(B77,Справочники!$B:$F,3,FALSE)</f>
        <v>Представительские расходы</v>
      </c>
      <c r="D77" s="456">
        <f>VLOOKUP($B77,'Коммерческий отдел'!$B$10:$O$58,COLUMN('Коммерческий отдел'!D:D)-1,FALSE)+VLOOKUP($B77,'Технический отдел'!$B$10:$O$58,COLUMN('Технический отдел'!D:D)-1,FALSE)+VLOOKUP($B77,'Управленческий блок'!$B$10:$O$76,COLUMN('Управленческий блок'!D:D)-1,FALSE)</f>
        <v>0</v>
      </c>
      <c r="E77" s="724">
        <f>VLOOKUP($B77,'Коммерческий отдел'!$B$10:$O$58,COLUMN('Коммерческий отдел'!E:E)-1,FALSE)+VLOOKUP($B77,'Технический отдел'!$B$10:$O$58,COLUMN('Технический отдел'!E:E)-1,FALSE)+VLOOKUP($B77,'Управленческий блок'!$B$10:$O$76,COLUMN('Управленческий блок'!E:E)-1,FALSE)</f>
        <v>0</v>
      </c>
      <c r="F77" s="724">
        <f>VLOOKUP($B77,'Коммерческий отдел'!$B$10:$O$58,COLUMN('Коммерческий отдел'!F:F)-1,FALSE)+VLOOKUP($B77,'Технический отдел'!$B$10:$O$58,COLUMN('Технический отдел'!F:F)-1,FALSE)+VLOOKUP($B77,'Управленческий блок'!$B$10:$O$76,COLUMN('Управленческий блок'!F:F)-1,FALSE)</f>
        <v>0</v>
      </c>
      <c r="G77" s="724">
        <f>VLOOKUP($B77,'Коммерческий отдел'!$B$10:$O$58,COLUMN('Коммерческий отдел'!G:G)-1,FALSE)+VLOOKUP($B77,'Технический отдел'!$B$10:$O$58,COLUMN('Технический отдел'!G:G)-1,FALSE)+VLOOKUP($B77,'Управленческий блок'!$B$10:$O$76,COLUMN('Управленческий блок'!G:G)-1,FALSE)</f>
        <v>0</v>
      </c>
      <c r="H77" s="724">
        <f>VLOOKUP($B77,'Коммерческий отдел'!$B$10:$O$58,COLUMN('Коммерческий отдел'!H:H)-1,FALSE)+VLOOKUP($B77,'Технический отдел'!$B$10:$O$58,COLUMN('Технический отдел'!H:H)-1,FALSE)+VLOOKUP($B77,'Управленческий блок'!$B$10:$O$76,COLUMN('Управленческий блок'!H:H)-1,FALSE)</f>
        <v>0</v>
      </c>
      <c r="I77" s="724">
        <f>VLOOKUP($B77,'Коммерческий отдел'!$B$10:$O$58,COLUMN('Коммерческий отдел'!I:I)-1,FALSE)+VLOOKUP($B77,'Технический отдел'!$B$10:$O$58,COLUMN('Технический отдел'!I:I)-1,FALSE)+VLOOKUP($B77,'Управленческий блок'!$B$10:$O$76,COLUMN('Управленческий блок'!I:I)-1,FALSE)</f>
        <v>0</v>
      </c>
      <c r="J77" s="724">
        <f>VLOOKUP($B77,'Коммерческий отдел'!$B$10:$O$58,COLUMN('Коммерческий отдел'!J:J)-1,FALSE)+VLOOKUP($B77,'Технический отдел'!$B$10:$O$58,COLUMN('Технический отдел'!J:J)-1,FALSE)+VLOOKUP($B77,'Управленческий блок'!$B$10:$O$76,COLUMN('Управленческий блок'!J:J)-1,FALSE)</f>
        <v>0</v>
      </c>
      <c r="K77" s="724">
        <f>VLOOKUP($B77,'Коммерческий отдел'!$B$10:$O$58,COLUMN('Коммерческий отдел'!K:K)-1,FALSE)+VLOOKUP($B77,'Технический отдел'!$B$10:$O$58,COLUMN('Технический отдел'!K:K)-1,FALSE)+VLOOKUP($B77,'Управленческий блок'!$B$10:$O$76,COLUMN('Управленческий блок'!K:K)-1,FALSE)</f>
        <v>0</v>
      </c>
      <c r="L77" s="724">
        <f>VLOOKUP($B77,'Коммерческий отдел'!$B$10:$O$58,COLUMN('Коммерческий отдел'!L:L)-1,FALSE)+VLOOKUP($B77,'Технический отдел'!$B$10:$O$58,COLUMN('Технический отдел'!L:L)-1,FALSE)+VLOOKUP($B77,'Управленческий блок'!$B$10:$O$76,COLUMN('Управленческий блок'!L:L)-1,FALSE)</f>
        <v>0</v>
      </c>
      <c r="M77" s="724">
        <f>VLOOKUP($B77,'Коммерческий отдел'!$B$10:$O$58,COLUMN('Коммерческий отдел'!M:M)-1,FALSE)+VLOOKUP($B77,'Технический отдел'!$B$10:$O$58,COLUMN('Технический отдел'!M:M)-1,FALSE)+VLOOKUP($B77,'Управленческий блок'!$B$10:$O$76,COLUMN('Управленческий блок'!M:M)-1,FALSE)</f>
        <v>0</v>
      </c>
      <c r="N77" s="724">
        <f>VLOOKUP($B77,'Коммерческий отдел'!$B$10:$O$58,COLUMN('Коммерческий отдел'!N:N)-1,FALSE)+VLOOKUP($B77,'Технический отдел'!$B$10:$O$58,COLUMN('Технический отдел'!N:N)-1,FALSE)+VLOOKUP($B77,'Управленческий блок'!$B$10:$O$76,COLUMN('Управленческий блок'!N:N)-1,FALSE)</f>
        <v>0</v>
      </c>
      <c r="O77" s="725">
        <f>VLOOKUP($B77,'Коммерческий отдел'!$B$10:$O$58,COLUMN('Коммерческий отдел'!O:O)-1,FALSE)+VLOOKUP($B77,'Технический отдел'!$B$10:$O$58,COLUMN('Технический отдел'!O:O)-1,FALSE)+VLOOKUP($B77,'Управленческий блок'!$B$10:$O$76,COLUMN('Управленческий блок'!O:O)-1,FALSE)</f>
        <v>0</v>
      </c>
      <c r="P77" s="8"/>
    </row>
    <row r="78" spans="1:16" ht="12.75" outlineLevel="1">
      <c r="A78" s="557"/>
      <c r="B78" s="731" t="s">
        <v>120</v>
      </c>
      <c r="C78" s="473" t="str">
        <f>VLOOKUP(B78,Справочники!$B:$F,3,FALSE)</f>
        <v>Абонентская плата за поддержку ИС</v>
      </c>
      <c r="D78" s="456">
        <f>VLOOKUP($B78,'Коммерческий отдел'!$B$10:$O$58,COLUMN('Коммерческий отдел'!D:D)-1,FALSE)+VLOOKUP($B78,'Технический отдел'!$B$10:$O$58,COLUMN('Технический отдел'!D:D)-1,FALSE)+VLOOKUP($B78,'Управленческий блок'!$B$10:$O$76,COLUMN('Управленческий блок'!D:D)-1,FALSE)</f>
        <v>0</v>
      </c>
      <c r="E78" s="724">
        <f>VLOOKUP($B78,'Коммерческий отдел'!$B$10:$O$58,COLUMN('Коммерческий отдел'!E:E)-1,FALSE)+VLOOKUP($B78,'Технический отдел'!$B$10:$O$58,COLUMN('Технический отдел'!E:E)-1,FALSE)+VLOOKUP($B78,'Управленческий блок'!$B$10:$O$76,COLUMN('Управленческий блок'!E:E)-1,FALSE)</f>
        <v>0</v>
      </c>
      <c r="F78" s="724">
        <f>VLOOKUP($B78,'Коммерческий отдел'!$B$10:$O$58,COLUMN('Коммерческий отдел'!F:F)-1,FALSE)+VLOOKUP($B78,'Технический отдел'!$B$10:$O$58,COLUMN('Технический отдел'!F:F)-1,FALSE)+VLOOKUP($B78,'Управленческий блок'!$B$10:$O$76,COLUMN('Управленческий блок'!F:F)-1,FALSE)</f>
        <v>0</v>
      </c>
      <c r="G78" s="724">
        <f>VLOOKUP($B78,'Коммерческий отдел'!$B$10:$O$58,COLUMN('Коммерческий отдел'!G:G)-1,FALSE)+VLOOKUP($B78,'Технический отдел'!$B$10:$O$58,COLUMN('Технический отдел'!G:G)-1,FALSE)+VLOOKUP($B78,'Управленческий блок'!$B$10:$O$76,COLUMN('Управленческий блок'!G:G)-1,FALSE)</f>
        <v>0</v>
      </c>
      <c r="H78" s="724">
        <f>VLOOKUP($B78,'Коммерческий отдел'!$B$10:$O$58,COLUMN('Коммерческий отдел'!H:H)-1,FALSE)+VLOOKUP($B78,'Технический отдел'!$B$10:$O$58,COLUMN('Технический отдел'!H:H)-1,FALSE)+VLOOKUP($B78,'Управленческий блок'!$B$10:$O$76,COLUMN('Управленческий блок'!H:H)-1,FALSE)</f>
        <v>0</v>
      </c>
      <c r="I78" s="724">
        <f>VLOOKUP($B78,'Коммерческий отдел'!$B$10:$O$58,COLUMN('Коммерческий отдел'!I:I)-1,FALSE)+VLOOKUP($B78,'Технический отдел'!$B$10:$O$58,COLUMN('Технический отдел'!I:I)-1,FALSE)+VLOOKUP($B78,'Управленческий блок'!$B$10:$O$76,COLUMN('Управленческий блок'!I:I)-1,FALSE)</f>
        <v>0</v>
      </c>
      <c r="J78" s="724">
        <f>VLOOKUP($B78,'Коммерческий отдел'!$B$10:$O$58,COLUMN('Коммерческий отдел'!J:J)-1,FALSE)+VLOOKUP($B78,'Технический отдел'!$B$10:$O$58,COLUMN('Технический отдел'!J:J)-1,FALSE)+VLOOKUP($B78,'Управленческий блок'!$B$10:$O$76,COLUMN('Управленческий блок'!J:J)-1,FALSE)</f>
        <v>0</v>
      </c>
      <c r="K78" s="724">
        <f>VLOOKUP($B78,'Коммерческий отдел'!$B$10:$O$58,COLUMN('Коммерческий отдел'!K:K)-1,FALSE)+VLOOKUP($B78,'Технический отдел'!$B$10:$O$58,COLUMN('Технический отдел'!K:K)-1,FALSE)+VLOOKUP($B78,'Управленческий блок'!$B$10:$O$76,COLUMN('Управленческий блок'!K:K)-1,FALSE)</f>
        <v>0</v>
      </c>
      <c r="L78" s="724">
        <f>VLOOKUP($B78,'Коммерческий отдел'!$B$10:$O$58,COLUMN('Коммерческий отдел'!L:L)-1,FALSE)+VLOOKUP($B78,'Технический отдел'!$B$10:$O$58,COLUMN('Технический отдел'!L:L)-1,FALSE)+VLOOKUP($B78,'Управленческий блок'!$B$10:$O$76,COLUMN('Управленческий блок'!L:L)-1,FALSE)</f>
        <v>0</v>
      </c>
      <c r="M78" s="724">
        <f>VLOOKUP($B78,'Коммерческий отдел'!$B$10:$O$58,COLUMN('Коммерческий отдел'!M:M)-1,FALSE)+VLOOKUP($B78,'Технический отдел'!$B$10:$O$58,COLUMN('Технический отдел'!M:M)-1,FALSE)+VLOOKUP($B78,'Управленческий блок'!$B$10:$O$76,COLUMN('Управленческий блок'!M:M)-1,FALSE)</f>
        <v>0</v>
      </c>
      <c r="N78" s="724">
        <f>VLOOKUP($B78,'Коммерческий отдел'!$B$10:$O$58,COLUMN('Коммерческий отдел'!N:N)-1,FALSE)+VLOOKUP($B78,'Технический отдел'!$B$10:$O$58,COLUMN('Технический отдел'!N:N)-1,FALSE)+VLOOKUP($B78,'Управленческий блок'!$B$10:$O$76,COLUMN('Управленческий блок'!N:N)-1,FALSE)</f>
        <v>0</v>
      </c>
      <c r="O78" s="725">
        <f>VLOOKUP($B78,'Коммерческий отдел'!$B$10:$O$58,COLUMN('Коммерческий отдел'!O:O)-1,FALSE)+VLOOKUP($B78,'Технический отдел'!$B$10:$O$58,COLUMN('Технический отдел'!O:O)-1,FALSE)+VLOOKUP($B78,'Управленческий блок'!$B$10:$O$76,COLUMN('Управленческий блок'!O:O)-1,FALSE)</f>
        <v>0</v>
      </c>
      <c r="P78" s="8"/>
    </row>
    <row r="79" spans="1:16" ht="12.75" outlineLevel="1">
      <c r="A79" s="557"/>
      <c r="B79" s="731" t="s">
        <v>121</v>
      </c>
      <c r="C79" s="473" t="str">
        <f>VLOOKUP(B79,Справочники!$B:$F,3,FALSE)</f>
        <v>Компенсация за использование личного транспорта</v>
      </c>
      <c r="D79" s="456">
        <f>VLOOKUP($B79,'Коммерческий отдел'!$B$10:$O$58,COLUMN('Коммерческий отдел'!D:D)-1,FALSE)+VLOOKUP($B79,'Технический отдел'!$B$10:$O$58,COLUMN('Технический отдел'!D:D)-1,FALSE)+VLOOKUP($B79,'Управленческий блок'!$B$10:$O$76,COLUMN('Управленческий блок'!D:D)-1,FALSE)</f>
        <v>0</v>
      </c>
      <c r="E79" s="724">
        <f>VLOOKUP($B79,'Коммерческий отдел'!$B$10:$O$58,COLUMN('Коммерческий отдел'!E:E)-1,FALSE)+VLOOKUP($B79,'Технический отдел'!$B$10:$O$58,COLUMN('Технический отдел'!E:E)-1,FALSE)+VLOOKUP($B79,'Управленческий блок'!$B$10:$O$76,COLUMN('Управленческий блок'!E:E)-1,FALSE)</f>
        <v>0</v>
      </c>
      <c r="F79" s="724">
        <f>VLOOKUP($B79,'Коммерческий отдел'!$B$10:$O$58,COLUMN('Коммерческий отдел'!F:F)-1,FALSE)+VLOOKUP($B79,'Технический отдел'!$B$10:$O$58,COLUMN('Технический отдел'!F:F)-1,FALSE)+VLOOKUP($B79,'Управленческий блок'!$B$10:$O$76,COLUMN('Управленческий блок'!F:F)-1,FALSE)</f>
        <v>0</v>
      </c>
      <c r="G79" s="724">
        <f>VLOOKUP($B79,'Коммерческий отдел'!$B$10:$O$58,COLUMN('Коммерческий отдел'!G:G)-1,FALSE)+VLOOKUP($B79,'Технический отдел'!$B$10:$O$58,COLUMN('Технический отдел'!G:G)-1,FALSE)+VLOOKUP($B79,'Управленческий блок'!$B$10:$O$76,COLUMN('Управленческий блок'!G:G)-1,FALSE)</f>
        <v>0</v>
      </c>
      <c r="H79" s="724">
        <f>VLOOKUP($B79,'Коммерческий отдел'!$B$10:$O$58,COLUMN('Коммерческий отдел'!H:H)-1,FALSE)+VLOOKUP($B79,'Технический отдел'!$B$10:$O$58,COLUMN('Технический отдел'!H:H)-1,FALSE)+VLOOKUP($B79,'Управленческий блок'!$B$10:$O$76,COLUMN('Управленческий блок'!H:H)-1,FALSE)</f>
        <v>0</v>
      </c>
      <c r="I79" s="724">
        <f>VLOOKUP($B79,'Коммерческий отдел'!$B$10:$O$58,COLUMN('Коммерческий отдел'!I:I)-1,FALSE)+VLOOKUP($B79,'Технический отдел'!$B$10:$O$58,COLUMN('Технический отдел'!I:I)-1,FALSE)+VLOOKUP($B79,'Управленческий блок'!$B$10:$O$76,COLUMN('Управленческий блок'!I:I)-1,FALSE)</f>
        <v>0</v>
      </c>
      <c r="J79" s="724">
        <f>VLOOKUP($B79,'Коммерческий отдел'!$B$10:$O$58,COLUMN('Коммерческий отдел'!J:J)-1,FALSE)+VLOOKUP($B79,'Технический отдел'!$B$10:$O$58,COLUMN('Технический отдел'!J:J)-1,FALSE)+VLOOKUP($B79,'Управленческий блок'!$B$10:$O$76,COLUMN('Управленческий блок'!J:J)-1,FALSE)</f>
        <v>0</v>
      </c>
      <c r="K79" s="724">
        <f>VLOOKUP($B79,'Коммерческий отдел'!$B$10:$O$58,COLUMN('Коммерческий отдел'!K:K)-1,FALSE)+VLOOKUP($B79,'Технический отдел'!$B$10:$O$58,COLUMN('Технический отдел'!K:K)-1,FALSE)+VLOOKUP($B79,'Управленческий блок'!$B$10:$O$76,COLUMN('Управленческий блок'!K:K)-1,FALSE)</f>
        <v>0</v>
      </c>
      <c r="L79" s="724">
        <f>VLOOKUP($B79,'Коммерческий отдел'!$B$10:$O$58,COLUMN('Коммерческий отдел'!L:L)-1,FALSE)+VLOOKUP($B79,'Технический отдел'!$B$10:$O$58,COLUMN('Технический отдел'!L:L)-1,FALSE)+VLOOKUP($B79,'Управленческий блок'!$B$10:$O$76,COLUMN('Управленческий блок'!L:L)-1,FALSE)</f>
        <v>0</v>
      </c>
      <c r="M79" s="724">
        <f>VLOOKUP($B79,'Коммерческий отдел'!$B$10:$O$58,COLUMN('Коммерческий отдел'!M:M)-1,FALSE)+VLOOKUP($B79,'Технический отдел'!$B$10:$O$58,COLUMN('Технический отдел'!M:M)-1,FALSE)+VLOOKUP($B79,'Управленческий блок'!$B$10:$O$76,COLUMN('Управленческий блок'!M:M)-1,FALSE)</f>
        <v>0</v>
      </c>
      <c r="N79" s="724">
        <f>VLOOKUP($B79,'Коммерческий отдел'!$B$10:$O$58,COLUMN('Коммерческий отдел'!N:N)-1,FALSE)+VLOOKUP($B79,'Технический отдел'!$B$10:$O$58,COLUMN('Технический отдел'!N:N)-1,FALSE)+VLOOKUP($B79,'Управленческий блок'!$B$10:$O$76,COLUMN('Управленческий блок'!N:N)-1,FALSE)</f>
        <v>0</v>
      </c>
      <c r="O79" s="725">
        <f>VLOOKUP($B79,'Коммерческий отдел'!$B$10:$O$58,COLUMN('Коммерческий отдел'!O:O)-1,FALSE)+VLOOKUP($B79,'Технический отдел'!$B$10:$O$58,COLUMN('Технический отдел'!O:O)-1,FALSE)+VLOOKUP($B79,'Управленческий блок'!$B$10:$O$76,COLUMN('Управленческий блок'!O:O)-1,FALSE)</f>
        <v>0</v>
      </c>
      <c r="P79" s="8"/>
    </row>
    <row r="80" spans="1:16" ht="12.75" outlineLevel="1">
      <c r="A80" s="557"/>
      <c r="B80" s="731" t="s">
        <v>122</v>
      </c>
      <c r="C80" s="473" t="str">
        <f>VLOOKUP(B80,Справочники!$B:$F,3,FALSE)</f>
        <v>Агентские вознаграждения</v>
      </c>
      <c r="D80" s="456">
        <f>VLOOKUP($B80,'Коммерческий отдел'!$B$10:$O$58,COLUMN('Коммерческий отдел'!D:D)-1,FALSE)+VLOOKUP($B80,'Технический отдел'!$B$10:$O$58,COLUMN('Технический отдел'!D:D)-1,FALSE)+VLOOKUP($B80,'Управленческий блок'!$B$10:$O$76,COLUMN('Управленческий блок'!D:D)-1,FALSE)</f>
        <v>0</v>
      </c>
      <c r="E80" s="724">
        <f>VLOOKUP($B80,'Коммерческий отдел'!$B$10:$O$58,COLUMN('Коммерческий отдел'!E:E)-1,FALSE)+VLOOKUP($B80,'Технический отдел'!$B$10:$O$58,COLUMN('Технический отдел'!E:E)-1,FALSE)+VLOOKUP($B80,'Управленческий блок'!$B$10:$O$76,COLUMN('Управленческий блок'!E:E)-1,FALSE)</f>
        <v>0</v>
      </c>
      <c r="F80" s="724">
        <f>VLOOKUP($B80,'Коммерческий отдел'!$B$10:$O$58,COLUMN('Коммерческий отдел'!F:F)-1,FALSE)+VLOOKUP($B80,'Технический отдел'!$B$10:$O$58,COLUMN('Технический отдел'!F:F)-1,FALSE)+VLOOKUP($B80,'Управленческий блок'!$B$10:$O$76,COLUMN('Управленческий блок'!F:F)-1,FALSE)</f>
        <v>0</v>
      </c>
      <c r="G80" s="724">
        <f>VLOOKUP($B80,'Коммерческий отдел'!$B$10:$O$58,COLUMN('Коммерческий отдел'!G:G)-1,FALSE)+VLOOKUP($B80,'Технический отдел'!$B$10:$O$58,COLUMN('Технический отдел'!G:G)-1,FALSE)+VLOOKUP($B80,'Управленческий блок'!$B$10:$O$76,COLUMN('Управленческий блок'!G:G)-1,FALSE)</f>
        <v>0</v>
      </c>
      <c r="H80" s="724">
        <f>VLOOKUP($B80,'Коммерческий отдел'!$B$10:$O$58,COLUMN('Коммерческий отдел'!H:H)-1,FALSE)+VLOOKUP($B80,'Технический отдел'!$B$10:$O$58,COLUMN('Технический отдел'!H:H)-1,FALSE)+VLOOKUP($B80,'Управленческий блок'!$B$10:$O$76,COLUMN('Управленческий блок'!H:H)-1,FALSE)</f>
        <v>0</v>
      </c>
      <c r="I80" s="724">
        <f>VLOOKUP($B80,'Коммерческий отдел'!$B$10:$O$58,COLUMN('Коммерческий отдел'!I:I)-1,FALSE)+VLOOKUP($B80,'Технический отдел'!$B$10:$O$58,COLUMN('Технический отдел'!I:I)-1,FALSE)+VLOOKUP($B80,'Управленческий блок'!$B$10:$O$76,COLUMN('Управленческий блок'!I:I)-1,FALSE)</f>
        <v>0</v>
      </c>
      <c r="J80" s="724">
        <f>VLOOKUP($B80,'Коммерческий отдел'!$B$10:$O$58,COLUMN('Коммерческий отдел'!J:J)-1,FALSE)+VLOOKUP($B80,'Технический отдел'!$B$10:$O$58,COLUMN('Технический отдел'!J:J)-1,FALSE)+VLOOKUP($B80,'Управленческий блок'!$B$10:$O$76,COLUMN('Управленческий блок'!J:J)-1,FALSE)</f>
        <v>0</v>
      </c>
      <c r="K80" s="724">
        <f>VLOOKUP($B80,'Коммерческий отдел'!$B$10:$O$58,COLUMN('Коммерческий отдел'!K:K)-1,FALSE)+VLOOKUP($B80,'Технический отдел'!$B$10:$O$58,COLUMN('Технический отдел'!K:K)-1,FALSE)+VLOOKUP($B80,'Управленческий блок'!$B$10:$O$76,COLUMN('Управленческий блок'!K:K)-1,FALSE)</f>
        <v>0</v>
      </c>
      <c r="L80" s="724">
        <f>VLOOKUP($B80,'Коммерческий отдел'!$B$10:$O$58,COLUMN('Коммерческий отдел'!L:L)-1,FALSE)+VLOOKUP($B80,'Технический отдел'!$B$10:$O$58,COLUMN('Технический отдел'!L:L)-1,FALSE)+VLOOKUP($B80,'Управленческий блок'!$B$10:$O$76,COLUMN('Управленческий блок'!L:L)-1,FALSE)</f>
        <v>0</v>
      </c>
      <c r="M80" s="724">
        <f>VLOOKUP($B80,'Коммерческий отдел'!$B$10:$O$58,COLUMN('Коммерческий отдел'!M:M)-1,FALSE)+VLOOKUP($B80,'Технический отдел'!$B$10:$O$58,COLUMN('Технический отдел'!M:M)-1,FALSE)+VLOOKUP($B80,'Управленческий блок'!$B$10:$O$76,COLUMN('Управленческий блок'!M:M)-1,FALSE)</f>
        <v>0</v>
      </c>
      <c r="N80" s="724">
        <f>VLOOKUP($B80,'Коммерческий отдел'!$B$10:$O$58,COLUMN('Коммерческий отдел'!N:N)-1,FALSE)+VLOOKUP($B80,'Технический отдел'!$B$10:$O$58,COLUMN('Технический отдел'!N:N)-1,FALSE)+VLOOKUP($B80,'Управленческий блок'!$B$10:$O$76,COLUMN('Управленческий блок'!N:N)-1,FALSE)</f>
        <v>0</v>
      </c>
      <c r="O80" s="725">
        <f>VLOOKUP($B80,'Коммерческий отдел'!$B$10:$O$58,COLUMN('Коммерческий отдел'!O:O)-1,FALSE)+VLOOKUP($B80,'Технический отдел'!$B$10:$O$58,COLUMN('Технический отдел'!O:O)-1,FALSE)+VLOOKUP($B80,'Управленческий блок'!$B$10:$O$76,COLUMN('Управленческий блок'!O:O)-1,FALSE)</f>
        <v>0</v>
      </c>
      <c r="P80" s="8"/>
    </row>
    <row r="81" spans="1:16" ht="12.75" outlineLevel="1">
      <c r="A81" s="557"/>
      <c r="B81" s="731" t="s">
        <v>136</v>
      </c>
      <c r="C81" s="473" t="str">
        <f>VLOOKUP(B81,Справочники!$B:$F,3,FALSE)</f>
        <v>Прочие</v>
      </c>
      <c r="D81" s="456">
        <f>VLOOKUP($B81,'Коммерческий отдел'!$B$10:$O$58,COLUMN('Коммерческий отдел'!D:D)-1,FALSE)+VLOOKUP($B81,'Технический отдел'!$B$10:$O$58,COLUMN('Технический отдел'!D:D)-1,FALSE)+VLOOKUP($B81,'Управленческий блок'!$B$10:$O$76,COLUMN('Управленческий блок'!D:D)-1,FALSE)</f>
        <v>5000</v>
      </c>
      <c r="E81" s="724">
        <f>VLOOKUP($B81,'Коммерческий отдел'!$B$10:$O$58,COLUMN('Коммерческий отдел'!E:E)-1,FALSE)+VLOOKUP($B81,'Технический отдел'!$B$10:$O$58,COLUMN('Технический отдел'!E:E)-1,FALSE)+VLOOKUP($B81,'Управленческий блок'!$B$10:$O$76,COLUMN('Управленческий блок'!E:E)-1,FALSE)</f>
        <v>5000</v>
      </c>
      <c r="F81" s="724">
        <f>VLOOKUP($B81,'Коммерческий отдел'!$B$10:$O$58,COLUMN('Коммерческий отдел'!F:F)-1,FALSE)+VLOOKUP($B81,'Технический отдел'!$B$10:$O$58,COLUMN('Технический отдел'!F:F)-1,FALSE)+VLOOKUP($B81,'Управленческий блок'!$B$10:$O$76,COLUMN('Управленческий блок'!F:F)-1,FALSE)</f>
        <v>5000</v>
      </c>
      <c r="G81" s="724">
        <f>VLOOKUP($B81,'Коммерческий отдел'!$B$10:$O$58,COLUMN('Коммерческий отдел'!G:G)-1,FALSE)+VLOOKUP($B81,'Технический отдел'!$B$10:$O$58,COLUMN('Технический отдел'!G:G)-1,FALSE)+VLOOKUP($B81,'Управленческий блок'!$B$10:$O$76,COLUMN('Управленческий блок'!G:G)-1,FALSE)</f>
        <v>5000</v>
      </c>
      <c r="H81" s="724">
        <f>VLOOKUP($B81,'Коммерческий отдел'!$B$10:$O$58,COLUMN('Коммерческий отдел'!H:H)-1,FALSE)+VLOOKUP($B81,'Технический отдел'!$B$10:$O$58,COLUMN('Технический отдел'!H:H)-1,FALSE)+VLOOKUP($B81,'Управленческий блок'!$B$10:$O$76,COLUMN('Управленческий блок'!H:H)-1,FALSE)</f>
        <v>40000</v>
      </c>
      <c r="I81" s="724">
        <f>VLOOKUP($B81,'Коммерческий отдел'!$B$10:$O$58,COLUMN('Коммерческий отдел'!I:I)-1,FALSE)+VLOOKUP($B81,'Технический отдел'!$B$10:$O$58,COLUMN('Технический отдел'!I:I)-1,FALSE)+VLOOKUP($B81,'Управленческий блок'!$B$10:$O$76,COLUMN('Управленческий блок'!I:I)-1,FALSE)</f>
        <v>45000</v>
      </c>
      <c r="J81" s="724">
        <f>VLOOKUP($B81,'Коммерческий отдел'!$B$10:$O$58,COLUMN('Коммерческий отдел'!J:J)-1,FALSE)+VLOOKUP($B81,'Технический отдел'!$B$10:$O$58,COLUMN('Технический отдел'!J:J)-1,FALSE)+VLOOKUP($B81,'Управленческий блок'!$B$10:$O$76,COLUMN('Управленческий блок'!J:J)-1,FALSE)</f>
        <v>50000</v>
      </c>
      <c r="K81" s="724">
        <f>VLOOKUP($B81,'Коммерческий отдел'!$B$10:$O$58,COLUMN('Коммерческий отдел'!K:K)-1,FALSE)+VLOOKUP($B81,'Технический отдел'!$B$10:$O$58,COLUMN('Технический отдел'!K:K)-1,FALSE)+VLOOKUP($B81,'Управленческий блок'!$B$10:$O$76,COLUMN('Управленческий блок'!K:K)-1,FALSE)</f>
        <v>0</v>
      </c>
      <c r="L81" s="724">
        <f>VLOOKUP($B81,'Коммерческий отдел'!$B$10:$O$58,COLUMN('Коммерческий отдел'!L:L)-1,FALSE)+VLOOKUP($B81,'Технический отдел'!$B$10:$O$58,COLUMN('Технический отдел'!L:L)-1,FALSE)+VLOOKUP($B81,'Управленческий блок'!$B$10:$O$76,COLUMN('Управленческий блок'!L:L)-1,FALSE)</f>
        <v>0</v>
      </c>
      <c r="M81" s="724">
        <f>VLOOKUP($B81,'Коммерческий отдел'!$B$10:$O$58,COLUMN('Коммерческий отдел'!M:M)-1,FALSE)+VLOOKUP($B81,'Технический отдел'!$B$10:$O$58,COLUMN('Технический отдел'!M:M)-1,FALSE)+VLOOKUP($B81,'Управленческий блок'!$B$10:$O$76,COLUMN('Управленческий блок'!M:M)-1,FALSE)</f>
        <v>0</v>
      </c>
      <c r="N81" s="724">
        <f>VLOOKUP($B81,'Коммерческий отдел'!$B$10:$O$58,COLUMN('Коммерческий отдел'!N:N)-1,FALSE)+VLOOKUP($B81,'Технический отдел'!$B$10:$O$58,COLUMN('Технический отдел'!N:N)-1,FALSE)+VLOOKUP($B81,'Управленческий блок'!$B$10:$O$76,COLUMN('Управленческий блок'!N:N)-1,FALSE)</f>
        <v>0</v>
      </c>
      <c r="O81" s="725">
        <f>VLOOKUP($B81,'Коммерческий отдел'!$B$10:$O$58,COLUMN('Коммерческий отдел'!O:O)-1,FALSE)+VLOOKUP($B81,'Технический отдел'!$B$10:$O$58,COLUMN('Технический отдел'!O:O)-1,FALSE)+VLOOKUP($B81,'Управленческий блок'!$B$10:$O$76,COLUMN('Управленческий блок'!O:O)-1,FALSE)</f>
        <v>0</v>
      </c>
      <c r="P81" s="8"/>
    </row>
    <row r="82" spans="1:15" s="45" customFormat="1" ht="12.75">
      <c r="A82" s="558"/>
      <c r="B82" s="463"/>
      <c r="C82" s="467" t="s">
        <v>217</v>
      </c>
      <c r="D82" s="538">
        <f aca="true" t="shared" si="12" ref="D82:O82">SUM(D10,D24,D29,D34,D55,D58,D65,D69,D74)</f>
        <v>230429.87685613128</v>
      </c>
      <c r="E82" s="464">
        <f t="shared" si="12"/>
        <v>226026.55901159934</v>
      </c>
      <c r="F82" s="464">
        <f t="shared" si="12"/>
        <v>240954.62806761518</v>
      </c>
      <c r="G82" s="464">
        <f t="shared" si="12"/>
        <v>285064.3657571599</v>
      </c>
      <c r="H82" s="464">
        <f t="shared" si="12"/>
        <v>2378905.1324118143</v>
      </c>
      <c r="I82" s="464">
        <f t="shared" si="12"/>
        <v>4981246.481225658</v>
      </c>
      <c r="J82" s="464">
        <f t="shared" si="12"/>
        <v>8474592.3191343</v>
      </c>
      <c r="K82" s="464">
        <f t="shared" si="12"/>
        <v>1483017.2243809395</v>
      </c>
      <c r="L82" s="464">
        <f t="shared" si="12"/>
        <v>1016973.2955481545</v>
      </c>
      <c r="M82" s="464">
        <f t="shared" si="12"/>
        <v>210471.64883867762</v>
      </c>
      <c r="N82" s="464">
        <f t="shared" si="12"/>
        <v>209815.48158125364</v>
      </c>
      <c r="O82" s="736">
        <f t="shared" si="12"/>
        <v>209159.31432383155</v>
      </c>
    </row>
    <row r="84" spans="4:11" ht="12.75">
      <c r="D84" s="1038">
        <f aca="true" t="shared" si="13" ref="D84:K84">D10+D24+D34+D69+D74</f>
        <v>188186.5</v>
      </c>
      <c r="E84" s="1038">
        <f t="shared" si="13"/>
        <v>180171.5</v>
      </c>
      <c r="F84" s="1038">
        <f t="shared" si="13"/>
        <v>213650.5</v>
      </c>
      <c r="G84" s="1038">
        <f t="shared" si="13"/>
        <v>260907</v>
      </c>
      <c r="H84" s="1038">
        <f t="shared" si="13"/>
        <v>1312720.2231638418</v>
      </c>
      <c r="I84" s="1038">
        <f t="shared" si="13"/>
        <v>1524165.1624293784</v>
      </c>
      <c r="J84" s="1038">
        <f t="shared" si="13"/>
        <v>1784453.4879943505</v>
      </c>
      <c r="K84" s="1038">
        <f t="shared" si="13"/>
        <v>1330091.424717514</v>
      </c>
    </row>
    <row r="90" spans="4:15" ht="12.75">
      <c r="D90" s="588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</row>
    <row r="91" spans="4:15" ht="12.75">
      <c r="D91" s="588"/>
      <c r="E91" s="588"/>
      <c r="F91" s="588"/>
      <c r="G91" s="588"/>
      <c r="H91" s="588"/>
      <c r="I91" s="588"/>
      <c r="J91" s="588"/>
      <c r="K91" s="588"/>
      <c r="L91" s="588"/>
      <c r="M91" s="588"/>
      <c r="N91" s="588"/>
      <c r="O91" s="588"/>
    </row>
    <row r="92" spans="4:15" ht="12.75">
      <c r="D92" s="588"/>
      <c r="E92" s="588"/>
      <c r="F92" s="588"/>
      <c r="G92" s="588"/>
      <c r="H92" s="588"/>
      <c r="I92" s="588"/>
      <c r="J92" s="588"/>
      <c r="K92" s="588"/>
      <c r="L92" s="588"/>
      <c r="M92" s="588"/>
      <c r="N92" s="588"/>
      <c r="O92" s="588"/>
    </row>
    <row r="94" spans="4:15" ht="12.75">
      <c r="D94" s="588"/>
      <c r="E94" s="588"/>
      <c r="F94" s="588"/>
      <c r="G94" s="588"/>
      <c r="H94" s="588"/>
      <c r="I94" s="588"/>
      <c r="J94" s="588"/>
      <c r="K94" s="588"/>
      <c r="L94" s="588"/>
      <c r="M94" s="588"/>
      <c r="N94" s="588"/>
      <c r="O94" s="588"/>
    </row>
  </sheetData>
  <sheetProtection/>
  <mergeCells count="13">
    <mergeCell ref="A7:A8"/>
    <mergeCell ref="B7:B8"/>
    <mergeCell ref="C7:C8"/>
    <mergeCell ref="H7:H8"/>
    <mergeCell ref="K7:K8"/>
    <mergeCell ref="L7:L8"/>
    <mergeCell ref="D7:G7"/>
    <mergeCell ref="B4:O4"/>
    <mergeCell ref="I7:I8"/>
    <mergeCell ref="J7:J8"/>
    <mergeCell ref="O7:O8"/>
    <mergeCell ref="M7:M8"/>
    <mergeCell ref="N7:N8"/>
  </mergeCells>
  <hyperlinks>
    <hyperlink ref="B1" location="Содержание!A1" display="Вернуться к содержанию"/>
  </hyperlinks>
  <printOptions/>
  <pageMargins left="0.75" right="0.24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Economica.pro</dc:creator>
  <cp:keywords/>
  <dc:description/>
  <cp:lastModifiedBy>DELL</cp:lastModifiedBy>
  <cp:lastPrinted>2005-12-07T18:59:33Z</cp:lastPrinted>
  <dcterms:created xsi:type="dcterms:W3CDTF">2003-11-03T13:57:43Z</dcterms:created>
  <dcterms:modified xsi:type="dcterms:W3CDTF">2017-05-16T07:19:31Z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