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1"/>
  </bookViews>
  <sheets>
    <sheet name="Содержание" sheetId="1" r:id="rId1"/>
    <sheet name="Параметры" sheetId="2" r:id="rId2"/>
    <sheet name="Макроплан" sheetId="3" r:id="rId3"/>
    <sheet name="Анализ" sheetId="4" r:id="rId4"/>
    <sheet name="оф мебель" sheetId="5" state="hidden" r:id="rId5"/>
  </sheets>
  <definedNames>
    <definedName name="_xlnm.Print_Area" localSheetId="4">'оф мебель'!$A$1:$E$20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D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месяц начала проекта,
вводится пользователем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месяц начала проекта,
вводится пользователем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месяц начала проекта,
вводится пользователем</t>
        </r>
      </text>
    </comment>
  </commentList>
</comments>
</file>

<file path=xl/sharedStrings.xml><?xml version="1.0" encoding="utf-8"?>
<sst xmlns="http://schemas.openxmlformats.org/spreadsheetml/2006/main" count="199" uniqueCount="130">
  <si>
    <t>2 год</t>
  </si>
  <si>
    <t>3 год</t>
  </si>
  <si>
    <t>4 год</t>
  </si>
  <si>
    <t>5 год</t>
  </si>
  <si>
    <t>Сумма за 1 год</t>
  </si>
  <si>
    <t>Доходы</t>
  </si>
  <si>
    <t>Накладные расходы</t>
  </si>
  <si>
    <t>Амортизация</t>
  </si>
  <si>
    <t>Мебель</t>
  </si>
  <si>
    <t>Прочие</t>
  </si>
  <si>
    <t>Остаток ДС на конец периода</t>
  </si>
  <si>
    <t>Ставка дисконтирования</t>
  </si>
  <si>
    <t xml:space="preserve"> </t>
  </si>
  <si>
    <t>Параметры проекта</t>
  </si>
  <si>
    <t>Параметр</t>
  </si>
  <si>
    <t>Ед.изм</t>
  </si>
  <si>
    <t>1. Общая информация о проекте</t>
  </si>
  <si>
    <t>Адрес:</t>
  </si>
  <si>
    <t>Наименование магазина:</t>
  </si>
  <si>
    <t>Юридическое лицо:</t>
  </si>
  <si>
    <t>Генеральный директор:</t>
  </si>
  <si>
    <t>2. Параметры 1 года деятельности</t>
  </si>
  <si>
    <t>кв. м</t>
  </si>
  <si>
    <t>Ремонт и иные услуги сторонних организаций</t>
  </si>
  <si>
    <t>Программное обеспечение</t>
  </si>
  <si>
    <t>Инвестиции во внеоборотные активы</t>
  </si>
  <si>
    <t>Инвестиции в рабочий капитал</t>
  </si>
  <si>
    <t>Запасы на конец</t>
  </si>
  <si>
    <t>Запасы на конец периода</t>
  </si>
  <si>
    <t>Дебиторская задолженность на конец периода</t>
  </si>
  <si>
    <t>Кредиторская задолженность на конец периода</t>
  </si>
  <si>
    <t>Дезинвестиции внеоборотных активов</t>
  </si>
  <si>
    <t>Количество чеков</t>
  </si>
  <si>
    <t>Средняя стоимость 1 чека</t>
  </si>
  <si>
    <t>Объем продаж брутто</t>
  </si>
  <si>
    <t>Объем продаж за минусом скидок</t>
  </si>
  <si>
    <t xml:space="preserve">Наценка </t>
  </si>
  <si>
    <t>%</t>
  </si>
  <si>
    <t>Аренда</t>
  </si>
  <si>
    <t>Затраты на оплату труда без ЕСН</t>
  </si>
  <si>
    <t>Материальные затраты (накладные)</t>
  </si>
  <si>
    <t>Услуги сторонних организаций</t>
  </si>
  <si>
    <t>Налоги и сборы</t>
  </si>
  <si>
    <t>3. Параметры деятельности после 1 года деятельности</t>
  </si>
  <si>
    <t>Темпы роста продаж в год</t>
  </si>
  <si>
    <t>Темпы роста наценки в год</t>
  </si>
  <si>
    <t>Темпы роста накладных затрат в год</t>
  </si>
  <si>
    <t>Темпы роста дебиторской задолженности в год</t>
  </si>
  <si>
    <t>Темпы роста запасов в год</t>
  </si>
  <si>
    <t>Темпы роста кредиторской задолженности в год</t>
  </si>
  <si>
    <t>за год со 2 года</t>
  </si>
  <si>
    <t>Город:</t>
  </si>
  <si>
    <t>руб</t>
  </si>
  <si>
    <t>руб в мес.</t>
  </si>
  <si>
    <t>Себестоимость продаж</t>
  </si>
  <si>
    <t>шт</t>
  </si>
  <si>
    <t>п.п.</t>
  </si>
  <si>
    <t>Макроплан проекта</t>
  </si>
  <si>
    <t>Продажи за минусом скидок</t>
  </si>
  <si>
    <t>Операционная прибыль до процентов (NOPLAT)</t>
  </si>
  <si>
    <t>КЗ на конец</t>
  </si>
  <si>
    <t>ДЗ на конец</t>
  </si>
  <si>
    <t>Статья макроплана</t>
  </si>
  <si>
    <t>Операционный денежный поток</t>
  </si>
  <si>
    <t>Инвестиции в запасы</t>
  </si>
  <si>
    <t>Инвестиции в дебиторскую задолженность</t>
  </si>
  <si>
    <t>Свободный денежный поток (FCF)</t>
  </si>
  <si>
    <t>Дисконтированный FCF</t>
  </si>
  <si>
    <t>место для ярлыка обучающей программы</t>
  </si>
  <si>
    <t>Вернуться в содержание</t>
  </si>
  <si>
    <t>Дезинвестиции из кредиторской задолженности</t>
  </si>
  <si>
    <t>цена</t>
  </si>
  <si>
    <t>кол-во</t>
  </si>
  <si>
    <t>сумма</t>
  </si>
  <si>
    <t>Наименование</t>
  </si>
  <si>
    <t>№</t>
  </si>
  <si>
    <t>итого</t>
  </si>
  <si>
    <t>Стол компьютерный</t>
  </si>
  <si>
    <t>Рабочее место продавца</t>
  </si>
  <si>
    <t>комп стулья</t>
  </si>
  <si>
    <t>стулья кассиров</t>
  </si>
  <si>
    <t>барные стулья продавцов</t>
  </si>
  <si>
    <t>Столы в учебном классе</t>
  </si>
  <si>
    <t>шкафы для одежды</t>
  </si>
  <si>
    <t>тумбы</t>
  </si>
  <si>
    <t>стеллажи для инструментов</t>
  </si>
  <si>
    <t>стойка рисепшн</t>
  </si>
  <si>
    <t>стеллаж на рисепшн</t>
  </si>
  <si>
    <t>стулья в учебный класс и офис</t>
  </si>
  <si>
    <t>стеллажи для документов, канц, хоз товаров</t>
  </si>
  <si>
    <t>прочее</t>
  </si>
  <si>
    <t>Материалы на ремонт и обсутройство помещений</t>
  </si>
  <si>
    <t>Оргтехника (с монтажом)</t>
  </si>
  <si>
    <t>Дата технического открытия:</t>
  </si>
  <si>
    <t>Реклама стартовая</t>
  </si>
  <si>
    <t>Операционная прибыль</t>
  </si>
  <si>
    <t>Ведомость по офисной и торговой мебели для гипера</t>
  </si>
  <si>
    <t>Накладные расходы УК</t>
  </si>
  <si>
    <t>Вклад на покрытие 1</t>
  </si>
  <si>
    <t>Вклад на покрытие 3</t>
  </si>
  <si>
    <t>Инвестиции во ВА</t>
  </si>
  <si>
    <t>Дезинвестиции из ВА</t>
  </si>
  <si>
    <t>Маржа, %</t>
  </si>
  <si>
    <t>Накладные расходы логистика</t>
  </si>
  <si>
    <t>Анализ эффективности проекта</t>
  </si>
  <si>
    <t>2. Анализ эффективности проекта</t>
  </si>
  <si>
    <t>Ключевой показатель эффективности</t>
  </si>
  <si>
    <t>1 год</t>
  </si>
  <si>
    <t>Рентабельность продаж (ROS)</t>
  </si>
  <si>
    <t>дн</t>
  </si>
  <si>
    <t>Оборачиваемость запасов</t>
  </si>
  <si>
    <t>Рентабельность инвестированного капитала (ROI)</t>
  </si>
  <si>
    <t>Окупаемость</t>
  </si>
  <si>
    <t>да/нет</t>
  </si>
  <si>
    <t>Продажи на 1 кв. метр общей площади</t>
  </si>
  <si>
    <t>Чистая приведенная стоимость (NPV) за 5 лет</t>
  </si>
  <si>
    <t>Содержание финансовой модели</t>
  </si>
  <si>
    <t>3. Анализ эффективности (расчетная часть модели)</t>
  </si>
  <si>
    <t>2. Макроплан (расчетная часть модели)</t>
  </si>
  <si>
    <t>Налоги с ФОТ</t>
  </si>
  <si>
    <t>1. Параметры ресторана (для ввода данных)</t>
  </si>
  <si>
    <t>Бренд "Х", формат Y</t>
  </si>
  <si>
    <t>Наименование:</t>
  </si>
  <si>
    <t>Площадь вспомогательная</t>
  </si>
  <si>
    <t>Площадь основная</t>
  </si>
  <si>
    <t>Арендая ставка за 1 кв.м. всп. площади</t>
  </si>
  <si>
    <t>Арендая ставка за 1 кв.м. основной площади</t>
  </si>
  <si>
    <t>Оборудование кухни</t>
  </si>
  <si>
    <t>Вклад на покрытие 2 (релевантная прибыль)</t>
  </si>
  <si>
    <t>Ресторан бренда "Х", формата Y (винотека)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</si>
</sst>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\ yy"/>
    <numFmt numFmtId="173" formatCode="_-* #,##0_р_._-;\-* #,##0_р_._-;_-* &quot;-&quot;??_р_._-;_-@_-"/>
    <numFmt numFmtId="174" formatCode="_-* #,##0.0_р_._-;\-* #,##0.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u val="single"/>
      <sz val="12"/>
      <name val="Times New Roman Cyr"/>
      <family val="1"/>
    </font>
    <font>
      <i/>
      <sz val="12"/>
      <name val="Arial Cyr"/>
      <family val="0"/>
    </font>
    <font>
      <u val="single"/>
      <sz val="16"/>
      <color indexed="12"/>
      <name val="Arial Cyr"/>
      <family val="0"/>
    </font>
    <font>
      <b/>
      <u val="single"/>
      <sz val="12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2"/>
    </font>
    <font>
      <sz val="14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u val="single"/>
      <sz val="7.5"/>
      <color theme="11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0" fillId="0" borderId="13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11" borderId="0" xfId="0" applyFont="1" applyFill="1" applyBorder="1" applyAlignment="1">
      <alignment/>
    </xf>
    <xf numFmtId="0" fontId="3" fillId="11" borderId="0" xfId="0" applyFont="1" applyFill="1" applyBorder="1" applyAlignment="1">
      <alignment/>
    </xf>
    <xf numFmtId="0" fontId="3" fillId="11" borderId="14" xfId="0" applyFont="1" applyFill="1" applyBorder="1" applyAlignment="1">
      <alignment/>
    </xf>
    <xf numFmtId="0" fontId="0" fillId="8" borderId="0" xfId="0" applyFill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11" borderId="13" xfId="0" applyFont="1" applyFill="1" applyBorder="1" applyAlignment="1">
      <alignment wrapText="1"/>
    </xf>
    <xf numFmtId="0" fontId="12" fillId="11" borderId="15" xfId="0" applyFont="1" applyFill="1" applyBorder="1" applyAlignment="1">
      <alignment horizontal="center"/>
    </xf>
    <xf numFmtId="2" fontId="0" fillId="11" borderId="15" xfId="0" applyNumberFormat="1" applyFont="1" applyFill="1" applyBorder="1" applyAlignment="1">
      <alignment/>
    </xf>
    <xf numFmtId="2" fontId="0" fillId="11" borderId="16" xfId="0" applyNumberFormat="1" applyFont="1" applyFill="1" applyBorder="1" applyAlignment="1">
      <alignment/>
    </xf>
    <xf numFmtId="0" fontId="2" fillId="11" borderId="13" xfId="0" applyFont="1" applyFill="1" applyBorder="1" applyAlignment="1">
      <alignment wrapText="1"/>
    </xf>
    <xf numFmtId="2" fontId="0" fillId="11" borderId="10" xfId="0" applyNumberFormat="1" applyFont="1" applyFill="1" applyBorder="1" applyAlignment="1">
      <alignment/>
    </xf>
    <xf numFmtId="2" fontId="0" fillId="11" borderId="17" xfId="0" applyNumberFormat="1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2" fillId="0" borderId="18" xfId="0" applyFont="1" applyBorder="1" applyAlignment="1">
      <alignment horizontal="center" wrapText="1"/>
    </xf>
    <xf numFmtId="0" fontId="10" fillId="11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0" fontId="10" fillId="11" borderId="12" xfId="0" applyFont="1" applyFill="1" applyBorder="1" applyAlignment="1">
      <alignment/>
    </xf>
    <xf numFmtId="0" fontId="2" fillId="11" borderId="12" xfId="0" applyFont="1" applyFill="1" applyBorder="1" applyAlignment="1">
      <alignment wrapText="1"/>
    </xf>
    <xf numFmtId="0" fontId="0" fillId="11" borderId="21" xfId="0" applyFill="1" applyBorder="1" applyAlignment="1">
      <alignment/>
    </xf>
    <xf numFmtId="0" fontId="2" fillId="0" borderId="22" xfId="0" applyFont="1" applyBorder="1" applyAlignment="1">
      <alignment horizontal="center" wrapText="1"/>
    </xf>
    <xf numFmtId="1" fontId="4" fillId="24" borderId="10" xfId="54" applyNumberFormat="1" applyFont="1" applyFill="1" applyBorder="1" applyAlignment="1">
      <alignment horizontal="center" vertical="center"/>
      <protection/>
    </xf>
    <xf numFmtId="172" fontId="4" fillId="24" borderId="10" xfId="54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wrapText="1"/>
    </xf>
    <xf numFmtId="0" fontId="0" fillId="11" borderId="23" xfId="0" applyFill="1" applyBorder="1" applyAlignment="1">
      <alignment/>
    </xf>
    <xf numFmtId="0" fontId="0" fillId="11" borderId="12" xfId="0" applyFill="1" applyBorder="1" applyAlignment="1">
      <alignment/>
    </xf>
    <xf numFmtId="0" fontId="12" fillId="0" borderId="24" xfId="0" applyFont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14" fillId="8" borderId="0" xfId="42" applyFont="1" applyFill="1" applyAlignment="1" applyProtection="1">
      <alignment/>
      <protection/>
    </xf>
    <xf numFmtId="0" fontId="9" fillId="0" borderId="26" xfId="0" applyFont="1" applyBorder="1" applyAlignment="1">
      <alignment horizontal="center"/>
    </xf>
    <xf numFmtId="0" fontId="3" fillId="11" borderId="27" xfId="0" applyFont="1" applyFill="1" applyBorder="1" applyAlignment="1">
      <alignment/>
    </xf>
    <xf numFmtId="0" fontId="13" fillId="0" borderId="27" xfId="42" applyFont="1" applyFill="1" applyBorder="1" applyAlignment="1" applyProtection="1">
      <alignment/>
      <protection/>
    </xf>
    <xf numFmtId="0" fontId="3" fillId="11" borderId="28" xfId="0" applyFont="1" applyFill="1" applyBorder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/>
    </xf>
    <xf numFmtId="0" fontId="34" fillId="20" borderId="10" xfId="0" applyFont="1" applyFill="1" applyBorder="1" applyAlignment="1" applyProtection="1">
      <alignment horizontal="center"/>
      <protection locked="0"/>
    </xf>
    <xf numFmtId="0" fontId="34" fillId="20" borderId="10" xfId="0" applyFont="1" applyFill="1" applyBorder="1" applyAlignment="1">
      <alignment horizontal="center"/>
    </xf>
    <xf numFmtId="3" fontId="34" fillId="20" borderId="1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vertical="center" wrapText="1"/>
    </xf>
    <xf numFmtId="3" fontId="33" fillId="0" borderId="29" xfId="0" applyNumberFormat="1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24" borderId="31" xfId="0" applyFont="1" applyFill="1" applyBorder="1" applyAlignment="1">
      <alignment vertical="center" wrapText="1"/>
    </xf>
    <xf numFmtId="0" fontId="33" fillId="24" borderId="31" xfId="0" applyFont="1" applyFill="1" applyBorder="1" applyAlignment="1">
      <alignment horizontal="center" vertical="center" wrapText="1"/>
    </xf>
    <xf numFmtId="3" fontId="33" fillId="24" borderId="32" xfId="0" applyNumberFormat="1" applyFont="1" applyFill="1" applyBorder="1" applyAlignment="1">
      <alignment horizontal="center" vertical="center" wrapText="1"/>
    </xf>
    <xf numFmtId="3" fontId="34" fillId="0" borderId="32" xfId="0" applyNumberFormat="1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1" fontId="0" fillId="24" borderId="15" xfId="0" applyNumberFormat="1" applyFont="1" applyFill="1" applyBorder="1" applyAlignment="1">
      <alignment/>
    </xf>
    <xf numFmtId="173" fontId="0" fillId="24" borderId="15" xfId="62" applyNumberFormat="1" applyFont="1" applyFill="1" applyBorder="1" applyAlignment="1">
      <alignment/>
    </xf>
    <xf numFmtId="173" fontId="0" fillId="4" borderId="15" xfId="62" applyNumberFormat="1" applyFont="1" applyFill="1" applyBorder="1" applyAlignment="1">
      <alignment/>
    </xf>
    <xf numFmtId="173" fontId="0" fillId="4" borderId="16" xfId="62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3" fontId="0" fillId="24" borderId="17" xfId="0" applyNumberFormat="1" applyFont="1" applyFill="1" applyBorder="1" applyAlignment="1">
      <alignment/>
    </xf>
    <xf numFmtId="1" fontId="0" fillId="24" borderId="16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1" fontId="0" fillId="8" borderId="0" xfId="0" applyNumberFormat="1" applyFill="1" applyAlignment="1">
      <alignment/>
    </xf>
    <xf numFmtId="10" fontId="0" fillId="0" borderId="10" xfId="59" applyNumberFormat="1" applyFont="1" applyBorder="1" applyAlignment="1">
      <alignment/>
    </xf>
    <xf numFmtId="9" fontId="3" fillId="0" borderId="10" xfId="0" applyNumberFormat="1" applyFont="1" applyFill="1" applyBorder="1" applyAlignment="1">
      <alignment/>
    </xf>
    <xf numFmtId="0" fontId="2" fillId="11" borderId="11" xfId="0" applyFont="1" applyFill="1" applyBorder="1" applyAlignment="1">
      <alignment wrapText="1"/>
    </xf>
    <xf numFmtId="0" fontId="12" fillId="11" borderId="23" xfId="0" applyFont="1" applyFill="1" applyBorder="1" applyAlignment="1">
      <alignment/>
    </xf>
    <xf numFmtId="0" fontId="10" fillId="11" borderId="23" xfId="0" applyFont="1" applyFill="1" applyBorder="1" applyAlignment="1">
      <alignment/>
    </xf>
    <xf numFmtId="0" fontId="10" fillId="11" borderId="25" xfId="0" applyFont="1" applyFill="1" applyBorder="1" applyAlignment="1">
      <alignment/>
    </xf>
    <xf numFmtId="0" fontId="2" fillId="25" borderId="12" xfId="0" applyFont="1" applyFill="1" applyBorder="1" applyAlignment="1">
      <alignment wrapText="1"/>
    </xf>
    <xf numFmtId="3" fontId="0" fillId="26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0" fontId="0" fillId="4" borderId="15" xfId="59" applyNumberFormat="1" applyFont="1" applyFill="1" applyBorder="1" applyAlignment="1">
      <alignment/>
    </xf>
    <xf numFmtId="2" fontId="0" fillId="4" borderId="15" xfId="0" applyNumberFormat="1" applyFont="1" applyFill="1" applyBorder="1" applyAlignment="1">
      <alignment/>
    </xf>
    <xf numFmtId="10" fontId="0" fillId="4" borderId="16" xfId="59" applyNumberFormat="1" applyFont="1" applyFill="1" applyBorder="1" applyAlignment="1">
      <alignment/>
    </xf>
    <xf numFmtId="2" fontId="0" fillId="4" borderId="15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wrapText="1"/>
    </xf>
    <xf numFmtId="2" fontId="0" fillId="4" borderId="24" xfId="0" applyNumberFormat="1" applyFont="1" applyFill="1" applyBorder="1" applyAlignment="1">
      <alignment/>
    </xf>
    <xf numFmtId="2" fontId="0" fillId="4" borderId="34" xfId="0" applyNumberFormat="1" applyFont="1" applyFill="1" applyBorder="1" applyAlignment="1">
      <alignment/>
    </xf>
    <xf numFmtId="2" fontId="0" fillId="8" borderId="0" xfId="0" applyNumberFormat="1" applyFill="1" applyAlignment="1">
      <alignment/>
    </xf>
    <xf numFmtId="3" fontId="0" fillId="27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4" fontId="2" fillId="4" borderId="35" xfId="0" applyNumberFormat="1" applyFont="1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0" fontId="2" fillId="4" borderId="35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2" fontId="0" fillId="4" borderId="30" xfId="0" applyNumberFormat="1" applyFont="1" applyFill="1" applyBorder="1" applyAlignment="1">
      <alignment horizontal="center"/>
    </xf>
    <xf numFmtId="2" fontId="0" fillId="4" borderId="38" xfId="0" applyNumberFormat="1" applyFont="1" applyFill="1" applyBorder="1" applyAlignment="1">
      <alignment horizontal="center"/>
    </xf>
    <xf numFmtId="173" fontId="0" fillId="4" borderId="30" xfId="64" applyNumberFormat="1" applyFont="1" applyFill="1" applyBorder="1" applyAlignment="1">
      <alignment horizontal="center"/>
    </xf>
    <xf numFmtId="173" fontId="0" fillId="4" borderId="38" xfId="64" applyNumberFormat="1" applyFont="1" applyFill="1" applyBorder="1" applyAlignment="1">
      <alignment horizontal="center"/>
    </xf>
    <xf numFmtId="2" fontId="0" fillId="19" borderId="30" xfId="0" applyNumberFormat="1" applyFont="1" applyFill="1" applyBorder="1" applyAlignment="1">
      <alignment horizontal="center"/>
    </xf>
    <xf numFmtId="2" fontId="0" fillId="19" borderId="38" xfId="0" applyNumberFormat="1" applyFont="1" applyFill="1" applyBorder="1" applyAlignment="1">
      <alignment horizontal="center"/>
    </xf>
    <xf numFmtId="1" fontId="11" fillId="4" borderId="30" xfId="54" applyNumberFormat="1" applyFont="1" applyFill="1" applyBorder="1" applyAlignment="1">
      <alignment horizontal="center" vertical="center"/>
      <protection/>
    </xf>
    <xf numFmtId="0" fontId="0" fillId="4" borderId="38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4" borderId="30" xfId="0" applyNumberFormat="1" applyFont="1" applyFill="1" applyBorder="1" applyAlignment="1">
      <alignment horizontal="center"/>
    </xf>
    <xf numFmtId="1" fontId="0" fillId="4" borderId="31" xfId="0" applyNumberFormat="1" applyFont="1" applyFill="1" applyBorder="1" applyAlignment="1">
      <alignment horizontal="center"/>
    </xf>
    <xf numFmtId="1" fontId="0" fillId="4" borderId="38" xfId="0" applyNumberFormat="1" applyFont="1" applyFill="1" applyBorder="1" applyAlignment="1">
      <alignment horizontal="center"/>
    </xf>
    <xf numFmtId="0" fontId="0" fillId="24" borderId="0" xfId="0" applyFill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орудовани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6"/>
  <sheetViews>
    <sheetView zoomScale="80" zoomScaleNormal="80" zoomScalePageLayoutView="0" workbookViewId="0" topLeftCell="A1">
      <pane xSplit="9" ySplit="30" topLeftCell="J31" activePane="bottomRight" state="frozen"/>
      <selection pane="topLeft" activeCell="A1" sqref="A1"/>
      <selection pane="topRight" activeCell="J1" sqref="J1"/>
      <selection pane="bottomLeft" activeCell="A31" sqref="A31"/>
      <selection pane="bottomRight" activeCell="A1" sqref="A1"/>
    </sheetView>
  </sheetViews>
  <sheetFormatPr defaultColWidth="9.00390625" defaultRowHeight="12.75"/>
  <cols>
    <col min="1" max="1" width="9.125" style="14" customWidth="1"/>
    <col min="2" max="2" width="36.375" style="14" customWidth="1"/>
    <col min="3" max="3" width="77.25390625" style="0" customWidth="1"/>
    <col min="4" max="39" width="9.125" style="14" customWidth="1"/>
  </cols>
  <sheetData>
    <row r="1" ht="13.5" thickBot="1">
      <c r="C1" s="14"/>
    </row>
    <row r="2" spans="2:8" ht="12.75">
      <c r="B2" s="46"/>
      <c r="C2" s="47"/>
      <c r="D2" s="47"/>
      <c r="E2" s="47"/>
      <c r="F2" s="47"/>
      <c r="G2" s="47"/>
      <c r="H2" s="48"/>
    </row>
    <row r="3" spans="2:8" ht="12.75">
      <c r="B3" s="49"/>
      <c r="C3" s="123"/>
      <c r="D3" s="50"/>
      <c r="E3" s="50"/>
      <c r="F3" s="50"/>
      <c r="G3" s="50"/>
      <c r="H3" s="51"/>
    </row>
    <row r="4" spans="2:8" ht="12.75">
      <c r="B4" s="49"/>
      <c r="C4" s="123"/>
      <c r="D4" s="50"/>
      <c r="E4" s="50"/>
      <c r="F4" s="50"/>
      <c r="G4" s="50"/>
      <c r="H4" s="51"/>
    </row>
    <row r="5" spans="2:8" ht="12.75">
      <c r="B5" s="49"/>
      <c r="C5" s="123"/>
      <c r="D5" s="50"/>
      <c r="E5" s="50"/>
      <c r="F5" s="50"/>
      <c r="G5" s="50"/>
      <c r="H5" s="51"/>
    </row>
    <row r="6" spans="2:8" ht="12.75">
      <c r="B6" s="49"/>
      <c r="C6" s="123"/>
      <c r="D6" s="50"/>
      <c r="E6" s="50"/>
      <c r="F6" s="50"/>
      <c r="G6" s="50"/>
      <c r="H6" s="51"/>
    </row>
    <row r="7" spans="2:8" ht="12.75">
      <c r="B7" s="49"/>
      <c r="C7" s="123"/>
      <c r="D7" s="50"/>
      <c r="E7" s="50"/>
      <c r="F7" s="50"/>
      <c r="G7" s="50"/>
      <c r="H7" s="51"/>
    </row>
    <row r="8" spans="2:8" ht="12.75">
      <c r="B8" s="49"/>
      <c r="C8" s="123"/>
      <c r="D8" s="50"/>
      <c r="E8" s="50"/>
      <c r="F8" s="50"/>
      <c r="G8" s="50"/>
      <c r="H8" s="51"/>
    </row>
    <row r="9" spans="2:8" ht="12.75">
      <c r="B9" s="49"/>
      <c r="C9" s="123"/>
      <c r="D9" s="50"/>
      <c r="E9" s="50"/>
      <c r="F9" s="50"/>
      <c r="G9" s="50"/>
      <c r="H9" s="51"/>
    </row>
    <row r="10" spans="2:8" ht="12.75">
      <c r="B10" s="49"/>
      <c r="C10" s="123"/>
      <c r="D10" s="50"/>
      <c r="E10" s="50"/>
      <c r="F10" s="50"/>
      <c r="G10" s="50"/>
      <c r="H10" s="51"/>
    </row>
    <row r="11" spans="2:8" ht="12.75">
      <c r="B11" s="49"/>
      <c r="C11" s="123"/>
      <c r="D11" s="50"/>
      <c r="E11" s="50"/>
      <c r="F11" s="50"/>
      <c r="G11" s="50"/>
      <c r="H11" s="51"/>
    </row>
    <row r="12" spans="2:8" ht="13.5" thickBot="1">
      <c r="B12" s="49"/>
      <c r="C12" s="10"/>
      <c r="D12" s="50"/>
      <c r="E12" s="50"/>
      <c r="F12" s="50"/>
      <c r="G12" s="50"/>
      <c r="H12" s="51"/>
    </row>
    <row r="13" spans="2:8" ht="20.25">
      <c r="B13" s="49"/>
      <c r="C13" s="56" t="s">
        <v>116</v>
      </c>
      <c r="D13" s="50"/>
      <c r="E13" s="50"/>
      <c r="F13" s="50"/>
      <c r="G13" s="50"/>
      <c r="H13" s="51"/>
    </row>
    <row r="14" spans="2:8" ht="12.75">
      <c r="B14" s="49"/>
      <c r="C14" s="57"/>
      <c r="D14" s="50"/>
      <c r="E14" s="50"/>
      <c r="F14" s="50"/>
      <c r="G14" s="50"/>
      <c r="H14" s="51"/>
    </row>
    <row r="15" spans="2:8" ht="20.25">
      <c r="B15" s="49"/>
      <c r="C15" s="58" t="s">
        <v>120</v>
      </c>
      <c r="D15" s="50"/>
      <c r="E15" s="50"/>
      <c r="F15" s="50"/>
      <c r="G15" s="50"/>
      <c r="H15" s="51"/>
    </row>
    <row r="16" spans="2:8" ht="20.25">
      <c r="B16" s="49"/>
      <c r="C16" s="58" t="s">
        <v>118</v>
      </c>
      <c r="D16" s="50"/>
      <c r="E16" s="50"/>
      <c r="F16" s="50"/>
      <c r="G16" s="50"/>
      <c r="H16" s="51"/>
    </row>
    <row r="17" spans="2:8" ht="20.25">
      <c r="B17" s="49"/>
      <c r="C17" s="58" t="s">
        <v>117</v>
      </c>
      <c r="D17" s="50"/>
      <c r="E17" s="50"/>
      <c r="F17" s="50"/>
      <c r="G17" s="50"/>
      <c r="H17" s="51"/>
    </row>
    <row r="18" spans="2:8" ht="13.5" thickBot="1">
      <c r="B18" s="49"/>
      <c r="C18" s="59"/>
      <c r="D18" s="50"/>
      <c r="E18" s="50"/>
      <c r="F18" s="50"/>
      <c r="G18" s="50"/>
      <c r="H18" s="51"/>
    </row>
    <row r="19" spans="2:8" ht="13.5" thickBot="1">
      <c r="B19" s="49"/>
      <c r="C19" s="10"/>
      <c r="D19" s="50"/>
      <c r="E19" s="50"/>
      <c r="F19" s="50"/>
      <c r="G19" s="50"/>
      <c r="H19" s="51"/>
    </row>
    <row r="20" spans="2:8" ht="12.75">
      <c r="B20" s="49"/>
      <c r="C20" s="124" t="s">
        <v>68</v>
      </c>
      <c r="D20" s="50"/>
      <c r="E20" s="50"/>
      <c r="F20" s="50"/>
      <c r="G20" s="50"/>
      <c r="H20" s="51"/>
    </row>
    <row r="21" spans="2:8" ht="12.75">
      <c r="B21" s="49"/>
      <c r="C21" s="125"/>
      <c r="D21" s="50"/>
      <c r="E21" s="50"/>
      <c r="F21" s="50"/>
      <c r="G21" s="50"/>
      <c r="H21" s="51"/>
    </row>
    <row r="22" spans="2:8" ht="12.75">
      <c r="B22" s="49"/>
      <c r="C22" s="125"/>
      <c r="D22" s="50"/>
      <c r="E22" s="50"/>
      <c r="F22" s="50"/>
      <c r="G22" s="50"/>
      <c r="H22" s="51"/>
    </row>
    <row r="23" spans="2:8" ht="12.75">
      <c r="B23" s="49"/>
      <c r="C23" s="125"/>
      <c r="D23" s="50"/>
      <c r="E23" s="50"/>
      <c r="F23" s="50"/>
      <c r="G23" s="50"/>
      <c r="H23" s="51"/>
    </row>
    <row r="24" spans="2:8" ht="12.75">
      <c r="B24" s="49"/>
      <c r="C24" s="125"/>
      <c r="D24" s="50"/>
      <c r="E24" s="50"/>
      <c r="F24" s="50"/>
      <c r="G24" s="50"/>
      <c r="H24" s="51"/>
    </row>
    <row r="25" spans="2:8" ht="12.75">
      <c r="B25" s="49"/>
      <c r="C25" s="125"/>
      <c r="D25" s="50"/>
      <c r="E25" s="50"/>
      <c r="F25" s="50"/>
      <c r="G25" s="50"/>
      <c r="H25" s="51"/>
    </row>
    <row r="26" spans="2:8" ht="12.75">
      <c r="B26" s="49"/>
      <c r="C26" s="125"/>
      <c r="D26" s="50"/>
      <c r="E26" s="50"/>
      <c r="F26" s="50"/>
      <c r="G26" s="50"/>
      <c r="H26" s="51"/>
    </row>
    <row r="27" spans="2:8" ht="12.75">
      <c r="B27" s="49"/>
      <c r="C27" s="125"/>
      <c r="D27" s="50"/>
      <c r="E27" s="50"/>
      <c r="F27" s="50"/>
      <c r="G27" s="50"/>
      <c r="H27" s="51"/>
    </row>
    <row r="28" spans="2:8" ht="13.5" thickBot="1">
      <c r="B28" s="49"/>
      <c r="C28" s="126"/>
      <c r="D28" s="50"/>
      <c r="E28" s="50"/>
      <c r="F28" s="50"/>
      <c r="G28" s="50"/>
      <c r="H28" s="51"/>
    </row>
    <row r="29" spans="2:8" ht="13.5" thickBot="1">
      <c r="B29" s="52"/>
      <c r="C29" s="53"/>
      <c r="D29" s="53"/>
      <c r="E29" s="53"/>
      <c r="F29" s="53"/>
      <c r="G29" s="53"/>
      <c r="H29" s="5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</sheetData>
  <sheetProtection/>
  <mergeCells count="2">
    <mergeCell ref="C3:C11"/>
    <mergeCell ref="C20:C28"/>
  </mergeCells>
  <hyperlinks>
    <hyperlink ref="C16" location="Макроплан!A1" display="2. Макроплан проекта (расчетная часть)"/>
    <hyperlink ref="C17" location="Анализ!A1" display="3. Анализ эффективности проекта (для чтения)"/>
    <hyperlink ref="C15" location="Параметры!A1" display="1. Параметры магазина (для ввода данных)"/>
  </hyperlink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4"/>
  <sheetViews>
    <sheetView tabSelected="1" zoomScale="75" zoomScaleNormal="75" zoomScalePageLayoutView="0" workbookViewId="0" topLeftCell="A1">
      <selection activeCell="C9" sqref="C9:O9"/>
    </sheetView>
  </sheetViews>
  <sheetFormatPr defaultColWidth="9.00390625" defaultRowHeight="12.75" outlineLevelRow="1"/>
  <cols>
    <col min="1" max="1" width="2.875" style="14" customWidth="1"/>
    <col min="2" max="2" width="55.875" style="0" customWidth="1"/>
    <col min="3" max="3" width="9.875" style="0" customWidth="1"/>
    <col min="4" max="6" width="14.375" style="0" bestFit="1" customWidth="1"/>
    <col min="7" max="8" width="14.375" style="0" customWidth="1"/>
    <col min="9" max="12" width="14.375" style="0" bestFit="1" customWidth="1"/>
    <col min="13" max="13" width="15.375" style="0" customWidth="1"/>
    <col min="14" max="14" width="14.375" style="0" bestFit="1" customWidth="1"/>
    <col min="15" max="15" width="14.375" style="0" customWidth="1"/>
    <col min="16" max="18" width="9.125" style="14" customWidth="1"/>
  </cols>
  <sheetData>
    <row r="1" spans="2:15" ht="22.5" customHeight="1" thickBot="1">
      <c r="B1" s="55" t="s">
        <v>69</v>
      </c>
      <c r="C1" s="14"/>
      <c r="D1" s="14"/>
      <c r="E1" s="14"/>
      <c r="F1" s="14"/>
      <c r="G1" s="14" t="s">
        <v>12</v>
      </c>
      <c r="H1" s="14"/>
      <c r="I1" s="14"/>
      <c r="J1" s="14"/>
      <c r="K1" s="14"/>
      <c r="L1" s="14"/>
      <c r="M1" s="14"/>
      <c r="N1" s="14"/>
      <c r="O1" s="14"/>
    </row>
    <row r="2" spans="2:15" ht="16.5" thickBot="1">
      <c r="B2" s="16" t="s">
        <v>13</v>
      </c>
      <c r="C2" s="130" t="s">
        <v>129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5" ht="15.75">
      <c r="B3" s="5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2:15" ht="15.75">
      <c r="B4" s="5" t="s">
        <v>16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2:15" ht="7.5" customHeight="1" thickBot="1">
      <c r="B5" s="5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2:15" ht="16.5" thickBot="1">
      <c r="B6" s="15" t="s">
        <v>51</v>
      </c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15" ht="16.5" thickBot="1">
      <c r="B7" s="15" t="s">
        <v>122</v>
      </c>
      <c r="C7" s="130" t="s">
        <v>121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2:15" ht="16.5" thickBot="1">
      <c r="B8" s="15" t="s">
        <v>17</v>
      </c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/>
    </row>
    <row r="9" spans="2:15" ht="16.5" thickBot="1">
      <c r="B9" s="15" t="s">
        <v>93</v>
      </c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</row>
    <row r="10" spans="2:15" ht="16.5" thickBot="1">
      <c r="B10" s="15" t="s">
        <v>19</v>
      </c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/>
    </row>
    <row r="11" spans="2:15" ht="16.5" thickBot="1">
      <c r="B11" s="15" t="s">
        <v>20</v>
      </c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2"/>
    </row>
    <row r="12" spans="2:15" ht="9.75" customHeight="1">
      <c r="B12" s="5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5.75">
      <c r="B13" s="5" t="s">
        <v>21</v>
      </c>
      <c r="C13" s="11"/>
      <c r="D13" s="12"/>
      <c r="E13" s="12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2:15" ht="7.5" customHeight="1">
      <c r="B14" s="5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2:15" ht="15.75">
      <c r="B15" s="6" t="s">
        <v>14</v>
      </c>
      <c r="C15" s="6" t="s">
        <v>15</v>
      </c>
      <c r="D15" s="6">
        <v>1</v>
      </c>
      <c r="E15" s="6">
        <f>D15+1</f>
        <v>2</v>
      </c>
      <c r="F15" s="6">
        <f aca="true" t="shared" si="0" ref="F15:O15">E15+1</f>
        <v>3</v>
      </c>
      <c r="G15" s="6">
        <f t="shared" si="0"/>
        <v>4</v>
      </c>
      <c r="H15" s="6">
        <f t="shared" si="0"/>
        <v>5</v>
      </c>
      <c r="I15" s="6">
        <f t="shared" si="0"/>
        <v>6</v>
      </c>
      <c r="J15" s="6">
        <f t="shared" si="0"/>
        <v>7</v>
      </c>
      <c r="K15" s="6">
        <f t="shared" si="0"/>
        <v>8</v>
      </c>
      <c r="L15" s="6">
        <f t="shared" si="0"/>
        <v>9</v>
      </c>
      <c r="M15" s="6">
        <f t="shared" si="0"/>
        <v>10</v>
      </c>
      <c r="N15" s="6">
        <f t="shared" si="0"/>
        <v>11</v>
      </c>
      <c r="O15" s="35">
        <f t="shared" si="0"/>
        <v>12</v>
      </c>
    </row>
    <row r="16" spans="2:15" ht="15">
      <c r="B16" s="7" t="s">
        <v>123</v>
      </c>
      <c r="C16" s="17" t="s">
        <v>22</v>
      </c>
      <c r="D16" s="92">
        <v>0</v>
      </c>
      <c r="E16" s="92">
        <f>D16</f>
        <v>0</v>
      </c>
      <c r="F16" s="92">
        <f aca="true" t="shared" si="1" ref="F16:O19">E16</f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3">
        <f t="shared" si="1"/>
        <v>0</v>
      </c>
    </row>
    <row r="17" spans="2:15" ht="15">
      <c r="B17" s="7" t="s">
        <v>124</v>
      </c>
      <c r="C17" s="17" t="s">
        <v>22</v>
      </c>
      <c r="D17" s="92">
        <v>50</v>
      </c>
      <c r="E17" s="92">
        <f>D17</f>
        <v>50</v>
      </c>
      <c r="F17" s="92">
        <f t="shared" si="1"/>
        <v>50</v>
      </c>
      <c r="G17" s="92">
        <f t="shared" si="1"/>
        <v>50</v>
      </c>
      <c r="H17" s="92">
        <f t="shared" si="1"/>
        <v>50</v>
      </c>
      <c r="I17" s="92">
        <f t="shared" si="1"/>
        <v>50</v>
      </c>
      <c r="J17" s="92">
        <f t="shared" si="1"/>
        <v>50</v>
      </c>
      <c r="K17" s="92">
        <f t="shared" si="1"/>
        <v>50</v>
      </c>
      <c r="L17" s="92">
        <f t="shared" si="1"/>
        <v>50</v>
      </c>
      <c r="M17" s="92">
        <f t="shared" si="1"/>
        <v>50</v>
      </c>
      <c r="N17" s="92">
        <f t="shared" si="1"/>
        <v>50</v>
      </c>
      <c r="O17" s="93">
        <f t="shared" si="1"/>
        <v>50</v>
      </c>
    </row>
    <row r="18" spans="2:15" ht="15">
      <c r="B18" s="7" t="s">
        <v>125</v>
      </c>
      <c r="C18" s="17" t="s">
        <v>53</v>
      </c>
      <c r="D18" s="92">
        <v>0</v>
      </c>
      <c r="E18" s="92">
        <f>D18</f>
        <v>0</v>
      </c>
      <c r="F18" s="92">
        <f t="shared" si="1"/>
        <v>0</v>
      </c>
      <c r="G18" s="92">
        <f t="shared" si="1"/>
        <v>0</v>
      </c>
      <c r="H18" s="92">
        <f t="shared" si="1"/>
        <v>0</v>
      </c>
      <c r="I18" s="92">
        <f t="shared" si="1"/>
        <v>0</v>
      </c>
      <c r="J18" s="92">
        <f t="shared" si="1"/>
        <v>0</v>
      </c>
      <c r="K18" s="92">
        <f t="shared" si="1"/>
        <v>0</v>
      </c>
      <c r="L18" s="92">
        <f t="shared" si="1"/>
        <v>0</v>
      </c>
      <c r="M18" s="92">
        <f t="shared" si="1"/>
        <v>0</v>
      </c>
      <c r="N18" s="92">
        <f t="shared" si="1"/>
        <v>0</v>
      </c>
      <c r="O18" s="93">
        <f t="shared" si="1"/>
        <v>0</v>
      </c>
    </row>
    <row r="19" spans="2:15" ht="15">
      <c r="B19" s="7" t="s">
        <v>126</v>
      </c>
      <c r="C19" s="17" t="s">
        <v>53</v>
      </c>
      <c r="D19" s="92">
        <f>40000/12</f>
        <v>3333.3333333333335</v>
      </c>
      <c r="E19" s="92">
        <f>D19</f>
        <v>3333.3333333333335</v>
      </c>
      <c r="F19" s="92">
        <f t="shared" si="1"/>
        <v>3333.3333333333335</v>
      </c>
      <c r="G19" s="92">
        <f t="shared" si="1"/>
        <v>3333.3333333333335</v>
      </c>
      <c r="H19" s="92">
        <f t="shared" si="1"/>
        <v>3333.3333333333335</v>
      </c>
      <c r="I19" s="92">
        <f t="shared" si="1"/>
        <v>3333.3333333333335</v>
      </c>
      <c r="J19" s="92">
        <f t="shared" si="1"/>
        <v>3333.3333333333335</v>
      </c>
      <c r="K19" s="92">
        <f t="shared" si="1"/>
        <v>3333.3333333333335</v>
      </c>
      <c r="L19" s="92">
        <f t="shared" si="1"/>
        <v>3333.3333333333335</v>
      </c>
      <c r="M19" s="92">
        <f t="shared" si="1"/>
        <v>3333.3333333333335</v>
      </c>
      <c r="N19" s="92">
        <f t="shared" si="1"/>
        <v>3333.3333333333335</v>
      </c>
      <c r="O19" s="93">
        <f t="shared" si="1"/>
        <v>3333.3333333333335</v>
      </c>
    </row>
    <row r="20" spans="2:15" ht="9" customHeight="1"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1" spans="2:15" ht="15.75">
      <c r="B21" s="8" t="s">
        <v>25</v>
      </c>
      <c r="C21" s="17" t="s">
        <v>52</v>
      </c>
      <c r="D21" s="87">
        <f>SUM(D22:D29)</f>
        <v>1702000</v>
      </c>
      <c r="E21" s="87">
        <f aca="true" t="shared" si="2" ref="E21:O21">SUM(E22:E29)</f>
        <v>0</v>
      </c>
      <c r="F21" s="87">
        <f t="shared" si="2"/>
        <v>0</v>
      </c>
      <c r="G21" s="87">
        <f t="shared" si="2"/>
        <v>0</v>
      </c>
      <c r="H21" s="87">
        <f t="shared" si="2"/>
        <v>0</v>
      </c>
      <c r="I21" s="87">
        <f t="shared" si="2"/>
        <v>0</v>
      </c>
      <c r="J21" s="87">
        <f t="shared" si="2"/>
        <v>0</v>
      </c>
      <c r="K21" s="87">
        <f t="shared" si="2"/>
        <v>0</v>
      </c>
      <c r="L21" s="87">
        <f t="shared" si="2"/>
        <v>0</v>
      </c>
      <c r="M21" s="87">
        <f t="shared" si="2"/>
        <v>0</v>
      </c>
      <c r="N21" s="87">
        <f t="shared" si="2"/>
        <v>0</v>
      </c>
      <c r="O21" s="94">
        <f t="shared" si="2"/>
        <v>0</v>
      </c>
    </row>
    <row r="22" spans="2:15" ht="15" outlineLevel="1">
      <c r="B22" s="9" t="s">
        <v>91</v>
      </c>
      <c r="C22" s="17" t="s">
        <v>52</v>
      </c>
      <c r="D22" s="85">
        <v>330000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6">
        <v>0</v>
      </c>
    </row>
    <row r="23" spans="2:15" ht="15" outlineLevel="1">
      <c r="B23" s="9" t="s">
        <v>127</v>
      </c>
      <c r="C23" s="17" t="s">
        <v>52</v>
      </c>
      <c r="D23" s="85">
        <v>1000000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6">
        <v>0</v>
      </c>
    </row>
    <row r="24" spans="2:15" ht="15" outlineLevel="1">
      <c r="B24" s="9" t="s">
        <v>92</v>
      </c>
      <c r="C24" s="17" t="s">
        <v>52</v>
      </c>
      <c r="D24" s="85">
        <v>30000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6">
        <v>0</v>
      </c>
    </row>
    <row r="25" spans="2:15" ht="15" outlineLevel="1">
      <c r="B25" s="9" t="s">
        <v>24</v>
      </c>
      <c r="C25" s="17" t="s">
        <v>52</v>
      </c>
      <c r="D25" s="85">
        <v>2000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6">
        <v>0</v>
      </c>
    </row>
    <row r="26" spans="2:15" ht="15" outlineLevel="1">
      <c r="B26" s="9" t="s">
        <v>8</v>
      </c>
      <c r="C26" s="17" t="s">
        <v>52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6">
        <v>0</v>
      </c>
    </row>
    <row r="27" spans="2:15" ht="15" outlineLevel="1">
      <c r="B27" s="9" t="s">
        <v>94</v>
      </c>
      <c r="C27" s="17" t="s">
        <v>52</v>
      </c>
      <c r="D27" s="85">
        <v>10000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6">
        <v>0</v>
      </c>
    </row>
    <row r="28" spans="2:15" ht="15" outlineLevel="1">
      <c r="B28" s="9" t="s">
        <v>23</v>
      </c>
      <c r="C28" s="17" t="s">
        <v>52</v>
      </c>
      <c r="D28" s="85">
        <f>130000+100000</f>
        <v>230000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6">
        <v>0</v>
      </c>
    </row>
    <row r="29" spans="2:15" ht="15" outlineLevel="1">
      <c r="B29" s="9" t="s">
        <v>9</v>
      </c>
      <c r="C29" s="17" t="s">
        <v>52</v>
      </c>
      <c r="D29" s="85">
        <v>100000</v>
      </c>
      <c r="E29" s="85">
        <v>0</v>
      </c>
      <c r="F29" s="85">
        <f aca="true" t="shared" si="3" ref="F29:O29">E29</f>
        <v>0</v>
      </c>
      <c r="G29" s="85">
        <f t="shared" si="3"/>
        <v>0</v>
      </c>
      <c r="H29" s="85">
        <f t="shared" si="3"/>
        <v>0</v>
      </c>
      <c r="I29" s="85">
        <f t="shared" si="3"/>
        <v>0</v>
      </c>
      <c r="J29" s="85">
        <f t="shared" si="3"/>
        <v>0</v>
      </c>
      <c r="K29" s="85">
        <f t="shared" si="3"/>
        <v>0</v>
      </c>
      <c r="L29" s="85">
        <f t="shared" si="3"/>
        <v>0</v>
      </c>
      <c r="M29" s="85">
        <f t="shared" si="3"/>
        <v>0</v>
      </c>
      <c r="N29" s="85">
        <f t="shared" si="3"/>
        <v>0</v>
      </c>
      <c r="O29" s="85">
        <f t="shared" si="3"/>
        <v>0</v>
      </c>
    </row>
    <row r="30" spans="2:15" ht="15.75">
      <c r="B30" s="8" t="s">
        <v>31</v>
      </c>
      <c r="C30" s="17"/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6">
        <v>0</v>
      </c>
    </row>
    <row r="31" spans="2:15" ht="8.25" customHeight="1"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</row>
    <row r="32" spans="2:15" ht="15.75">
      <c r="B32" s="8" t="s">
        <v>26</v>
      </c>
      <c r="C32" s="17"/>
      <c r="D32" s="89">
        <f>D33+D34-D35</f>
        <v>0</v>
      </c>
      <c r="E32" s="89">
        <f>(E33-D33)+(E34-D34)-(E35-D35)</f>
        <v>0</v>
      </c>
      <c r="F32" s="89">
        <f aca="true" t="shared" si="4" ref="F32:O32">(F33-E33)+(F34-E34)-(F35-E35)</f>
        <v>0</v>
      </c>
      <c r="G32" s="89">
        <f t="shared" si="4"/>
        <v>0</v>
      </c>
      <c r="H32" s="89">
        <f t="shared" si="4"/>
        <v>0</v>
      </c>
      <c r="I32" s="89">
        <f t="shared" si="4"/>
        <v>0</v>
      </c>
      <c r="J32" s="89">
        <f>(J33-I33)+(J34-I34)-(J35-I35)</f>
        <v>0</v>
      </c>
      <c r="K32" s="89">
        <f>(K33-J33)+(K34-J34)-(K35-J35)</f>
        <v>0</v>
      </c>
      <c r="L32" s="89">
        <f>(L33-K33)+(L34-K34)-(L35-K35)</f>
        <v>0</v>
      </c>
      <c r="M32" s="89">
        <f t="shared" si="4"/>
        <v>0</v>
      </c>
      <c r="N32" s="89">
        <f t="shared" si="4"/>
        <v>0</v>
      </c>
      <c r="O32" s="89">
        <f t="shared" si="4"/>
        <v>0</v>
      </c>
    </row>
    <row r="33" spans="2:15" ht="15" outlineLevel="1">
      <c r="B33" s="7" t="s">
        <v>28</v>
      </c>
      <c r="C33" s="17" t="s">
        <v>52</v>
      </c>
      <c r="D33" s="90">
        <v>1000000</v>
      </c>
      <c r="E33" s="90">
        <f>D33</f>
        <v>1000000</v>
      </c>
      <c r="F33" s="90">
        <f aca="true" t="shared" si="5" ref="F33:O33">E33</f>
        <v>1000000</v>
      </c>
      <c r="G33" s="90">
        <f t="shared" si="5"/>
        <v>1000000</v>
      </c>
      <c r="H33" s="90">
        <f t="shared" si="5"/>
        <v>1000000</v>
      </c>
      <c r="I33" s="90">
        <f t="shared" si="5"/>
        <v>1000000</v>
      </c>
      <c r="J33" s="90">
        <f t="shared" si="5"/>
        <v>1000000</v>
      </c>
      <c r="K33" s="90">
        <f t="shared" si="5"/>
        <v>1000000</v>
      </c>
      <c r="L33" s="90">
        <f t="shared" si="5"/>
        <v>1000000</v>
      </c>
      <c r="M33" s="90">
        <f t="shared" si="5"/>
        <v>1000000</v>
      </c>
      <c r="N33" s="90">
        <f t="shared" si="5"/>
        <v>1000000</v>
      </c>
      <c r="O33" s="90">
        <f t="shared" si="5"/>
        <v>1000000</v>
      </c>
    </row>
    <row r="34" spans="2:15" ht="15" outlineLevel="1">
      <c r="B34" s="7" t="s">
        <v>29</v>
      </c>
      <c r="C34" s="17" t="s">
        <v>52</v>
      </c>
      <c r="D34" s="90">
        <v>0</v>
      </c>
      <c r="E34" s="90">
        <f>D34</f>
        <v>0</v>
      </c>
      <c r="F34" s="90">
        <f aca="true" t="shared" si="6" ref="F34:O35">E34</f>
        <v>0</v>
      </c>
      <c r="G34" s="90">
        <f t="shared" si="6"/>
        <v>0</v>
      </c>
      <c r="H34" s="90">
        <f t="shared" si="6"/>
        <v>0</v>
      </c>
      <c r="I34" s="90">
        <f t="shared" si="6"/>
        <v>0</v>
      </c>
      <c r="J34" s="90">
        <f t="shared" si="6"/>
        <v>0</v>
      </c>
      <c r="K34" s="90">
        <f t="shared" si="6"/>
        <v>0</v>
      </c>
      <c r="L34" s="90">
        <f t="shared" si="6"/>
        <v>0</v>
      </c>
      <c r="M34" s="90">
        <f t="shared" si="6"/>
        <v>0</v>
      </c>
      <c r="N34" s="90">
        <f t="shared" si="6"/>
        <v>0</v>
      </c>
      <c r="O34" s="91">
        <f t="shared" si="6"/>
        <v>0</v>
      </c>
    </row>
    <row r="35" spans="2:15" ht="15" outlineLevel="1">
      <c r="B35" s="7" t="s">
        <v>30</v>
      </c>
      <c r="C35" s="17" t="s">
        <v>52</v>
      </c>
      <c r="D35" s="90">
        <v>1000000</v>
      </c>
      <c r="E35" s="90">
        <f>D35</f>
        <v>1000000</v>
      </c>
      <c r="F35" s="90">
        <f t="shared" si="6"/>
        <v>1000000</v>
      </c>
      <c r="G35" s="90">
        <f t="shared" si="6"/>
        <v>1000000</v>
      </c>
      <c r="H35" s="90">
        <f t="shared" si="6"/>
        <v>1000000</v>
      </c>
      <c r="I35" s="90">
        <f t="shared" si="6"/>
        <v>1000000</v>
      </c>
      <c r="J35" s="90">
        <f t="shared" si="6"/>
        <v>1000000</v>
      </c>
      <c r="K35" s="90">
        <f t="shared" si="6"/>
        <v>1000000</v>
      </c>
      <c r="L35" s="90">
        <f t="shared" si="6"/>
        <v>1000000</v>
      </c>
      <c r="M35" s="90">
        <f t="shared" si="6"/>
        <v>1000000</v>
      </c>
      <c r="N35" s="90">
        <f t="shared" si="6"/>
        <v>1000000</v>
      </c>
      <c r="O35" s="90">
        <f t="shared" si="6"/>
        <v>1000000</v>
      </c>
    </row>
    <row r="36" spans="2:15" ht="8.25" customHeight="1">
      <c r="B36" s="18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</row>
    <row r="37" spans="2:15" ht="15.75">
      <c r="B37" s="8" t="s">
        <v>5</v>
      </c>
      <c r="C37" s="17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95"/>
    </row>
    <row r="38" spans="2:15" ht="15" outlineLevel="1">
      <c r="B38" s="7" t="s">
        <v>32</v>
      </c>
      <c r="C38" s="17" t="s">
        <v>55</v>
      </c>
      <c r="D38" s="92">
        <v>850</v>
      </c>
      <c r="E38" s="92">
        <f>D38</f>
        <v>850</v>
      </c>
      <c r="F38" s="92">
        <f aca="true" t="shared" si="7" ref="F38:O38">E38</f>
        <v>850</v>
      </c>
      <c r="G38" s="92">
        <f t="shared" si="7"/>
        <v>850</v>
      </c>
      <c r="H38" s="92">
        <f t="shared" si="7"/>
        <v>850</v>
      </c>
      <c r="I38" s="92">
        <f t="shared" si="7"/>
        <v>850</v>
      </c>
      <c r="J38" s="92">
        <f t="shared" si="7"/>
        <v>850</v>
      </c>
      <c r="K38" s="92">
        <f t="shared" si="7"/>
        <v>850</v>
      </c>
      <c r="L38" s="92">
        <f t="shared" si="7"/>
        <v>850</v>
      </c>
      <c r="M38" s="92">
        <f t="shared" si="7"/>
        <v>850</v>
      </c>
      <c r="N38" s="92">
        <f t="shared" si="7"/>
        <v>850</v>
      </c>
      <c r="O38" s="92">
        <f t="shared" si="7"/>
        <v>850</v>
      </c>
    </row>
    <row r="39" spans="2:15" ht="15" outlineLevel="1">
      <c r="B39" s="7" t="s">
        <v>33</v>
      </c>
      <c r="C39" s="17" t="s">
        <v>52</v>
      </c>
      <c r="D39" s="92">
        <v>1000</v>
      </c>
      <c r="E39" s="92">
        <f>D39</f>
        <v>1000</v>
      </c>
      <c r="F39" s="92">
        <f aca="true" t="shared" si="8" ref="F39:O39">E39</f>
        <v>1000</v>
      </c>
      <c r="G39" s="92">
        <f t="shared" si="8"/>
        <v>1000</v>
      </c>
      <c r="H39" s="92">
        <f t="shared" si="8"/>
        <v>1000</v>
      </c>
      <c r="I39" s="92">
        <f t="shared" si="8"/>
        <v>1000</v>
      </c>
      <c r="J39" s="92">
        <f t="shared" si="8"/>
        <v>1000</v>
      </c>
      <c r="K39" s="92">
        <f t="shared" si="8"/>
        <v>1000</v>
      </c>
      <c r="L39" s="92">
        <f t="shared" si="8"/>
        <v>1000</v>
      </c>
      <c r="M39" s="92">
        <f t="shared" si="8"/>
        <v>1000</v>
      </c>
      <c r="N39" s="92">
        <f t="shared" si="8"/>
        <v>1000</v>
      </c>
      <c r="O39" s="92">
        <f t="shared" si="8"/>
        <v>1000</v>
      </c>
    </row>
    <row r="40" spans="2:15" ht="15" outlineLevel="1">
      <c r="B40" s="7" t="s">
        <v>34</v>
      </c>
      <c r="C40" s="17" t="s">
        <v>52</v>
      </c>
      <c r="D40" s="92">
        <f>D38*D39</f>
        <v>850000</v>
      </c>
      <c r="E40" s="92">
        <f aca="true" t="shared" si="9" ref="E40:O40">E38*E39</f>
        <v>850000</v>
      </c>
      <c r="F40" s="92">
        <f t="shared" si="9"/>
        <v>850000</v>
      </c>
      <c r="G40" s="92">
        <f t="shared" si="9"/>
        <v>850000</v>
      </c>
      <c r="H40" s="92">
        <f t="shared" si="9"/>
        <v>850000</v>
      </c>
      <c r="I40" s="92">
        <f t="shared" si="9"/>
        <v>850000</v>
      </c>
      <c r="J40" s="92">
        <f t="shared" si="9"/>
        <v>850000</v>
      </c>
      <c r="K40" s="92">
        <f t="shared" si="9"/>
        <v>850000</v>
      </c>
      <c r="L40" s="92">
        <f t="shared" si="9"/>
        <v>850000</v>
      </c>
      <c r="M40" s="92">
        <f t="shared" si="9"/>
        <v>850000</v>
      </c>
      <c r="N40" s="92">
        <f t="shared" si="9"/>
        <v>850000</v>
      </c>
      <c r="O40" s="92">
        <f t="shared" si="9"/>
        <v>850000</v>
      </c>
    </row>
    <row r="41" spans="2:15" ht="15" outlineLevel="1">
      <c r="B41" s="7" t="s">
        <v>35</v>
      </c>
      <c r="C41" s="17" t="s">
        <v>52</v>
      </c>
      <c r="D41" s="92">
        <f>D40</f>
        <v>850000</v>
      </c>
      <c r="E41" s="92">
        <f>E40</f>
        <v>850000</v>
      </c>
      <c r="F41" s="92">
        <f>F40</f>
        <v>850000</v>
      </c>
      <c r="G41" s="92">
        <f>G40</f>
        <v>850000</v>
      </c>
      <c r="H41" s="92">
        <f>H40</f>
        <v>850000</v>
      </c>
      <c r="I41" s="92">
        <f>H41</f>
        <v>850000</v>
      </c>
      <c r="J41" s="92">
        <f aca="true" t="shared" si="10" ref="J41:O41">I41</f>
        <v>850000</v>
      </c>
      <c r="K41" s="92">
        <f t="shared" si="10"/>
        <v>850000</v>
      </c>
      <c r="L41" s="92">
        <f t="shared" si="10"/>
        <v>850000</v>
      </c>
      <c r="M41" s="92">
        <f t="shared" si="10"/>
        <v>850000</v>
      </c>
      <c r="N41" s="92">
        <f t="shared" si="10"/>
        <v>850000</v>
      </c>
      <c r="O41" s="92">
        <f t="shared" si="10"/>
        <v>850000</v>
      </c>
    </row>
    <row r="42" spans="2:15" ht="8.25" customHeight="1"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</row>
    <row r="43" spans="2:15" ht="15.75">
      <c r="B43" s="8" t="s">
        <v>36</v>
      </c>
      <c r="C43" s="17" t="s">
        <v>37</v>
      </c>
      <c r="D43" s="85">
        <v>100</v>
      </c>
      <c r="E43" s="85">
        <f>D43</f>
        <v>100</v>
      </c>
      <c r="F43" s="85">
        <f aca="true" t="shared" si="11" ref="F43:O43">E43</f>
        <v>100</v>
      </c>
      <c r="G43" s="85">
        <f t="shared" si="11"/>
        <v>100</v>
      </c>
      <c r="H43" s="85">
        <f t="shared" si="11"/>
        <v>100</v>
      </c>
      <c r="I43" s="85">
        <f t="shared" si="11"/>
        <v>100</v>
      </c>
      <c r="J43" s="85">
        <f t="shared" si="11"/>
        <v>100</v>
      </c>
      <c r="K43" s="85">
        <f t="shared" si="11"/>
        <v>100</v>
      </c>
      <c r="L43" s="85">
        <f t="shared" si="11"/>
        <v>100</v>
      </c>
      <c r="M43" s="85">
        <f t="shared" si="11"/>
        <v>100</v>
      </c>
      <c r="N43" s="85">
        <f t="shared" si="11"/>
        <v>100</v>
      </c>
      <c r="O43" s="85">
        <f t="shared" si="11"/>
        <v>100</v>
      </c>
    </row>
    <row r="44" spans="2:15" ht="15.75">
      <c r="B44" s="8" t="s">
        <v>54</v>
      </c>
      <c r="C44" s="17" t="s">
        <v>52</v>
      </c>
      <c r="D44" s="87">
        <f>D40/(1+D43/100)</f>
        <v>425000</v>
      </c>
      <c r="E44" s="87">
        <f aca="true" t="shared" si="12" ref="E44:O44">E40/(1+E43/100)</f>
        <v>425000</v>
      </c>
      <c r="F44" s="87">
        <f t="shared" si="12"/>
        <v>425000</v>
      </c>
      <c r="G44" s="87">
        <f t="shared" si="12"/>
        <v>425000</v>
      </c>
      <c r="H44" s="87">
        <f t="shared" si="12"/>
        <v>425000</v>
      </c>
      <c r="I44" s="87">
        <f t="shared" si="12"/>
        <v>425000</v>
      </c>
      <c r="J44" s="87">
        <f t="shared" si="12"/>
        <v>425000</v>
      </c>
      <c r="K44" s="87">
        <f t="shared" si="12"/>
        <v>425000</v>
      </c>
      <c r="L44" s="87">
        <f t="shared" si="12"/>
        <v>425000</v>
      </c>
      <c r="M44" s="87">
        <f t="shared" si="12"/>
        <v>425000</v>
      </c>
      <c r="N44" s="87">
        <f t="shared" si="12"/>
        <v>425000</v>
      </c>
      <c r="O44" s="87">
        <f t="shared" si="12"/>
        <v>425000</v>
      </c>
    </row>
    <row r="45" spans="2:15" ht="9.75" customHeight="1">
      <c r="B45" s="22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</row>
    <row r="46" spans="2:15" ht="15.75">
      <c r="B46" s="8" t="s">
        <v>6</v>
      </c>
      <c r="C46" s="17"/>
      <c r="D46" s="85">
        <f aca="true" t="shared" si="13" ref="D46:O46">SUM(D47:D54)</f>
        <v>365266.6666666667</v>
      </c>
      <c r="E46" s="85">
        <f t="shared" si="13"/>
        <v>365266.6666666667</v>
      </c>
      <c r="F46" s="85">
        <f t="shared" si="13"/>
        <v>365267.6666666667</v>
      </c>
      <c r="G46" s="85">
        <f t="shared" si="13"/>
        <v>365268.6666666667</v>
      </c>
      <c r="H46" s="85">
        <f t="shared" si="13"/>
        <v>365269.6666666667</v>
      </c>
      <c r="I46" s="85">
        <f t="shared" si="13"/>
        <v>365270.6666666667</v>
      </c>
      <c r="J46" s="85">
        <f t="shared" si="13"/>
        <v>365271.6666666667</v>
      </c>
      <c r="K46" s="85">
        <f t="shared" si="13"/>
        <v>365272.6666666667</v>
      </c>
      <c r="L46" s="85">
        <f t="shared" si="13"/>
        <v>365273.6666666667</v>
      </c>
      <c r="M46" s="85">
        <f t="shared" si="13"/>
        <v>365274.6666666667</v>
      </c>
      <c r="N46" s="85">
        <f t="shared" si="13"/>
        <v>365275.6666666667</v>
      </c>
      <c r="O46" s="86">
        <f t="shared" si="13"/>
        <v>365276.6666666667</v>
      </c>
    </row>
    <row r="47" spans="2:15" ht="15" outlineLevel="1">
      <c r="B47" s="9" t="s">
        <v>38</v>
      </c>
      <c r="C47" s="17" t="s">
        <v>52</v>
      </c>
      <c r="D47" s="85">
        <f>D17*D19</f>
        <v>166666.6666666667</v>
      </c>
      <c r="E47" s="85">
        <f aca="true" t="shared" si="14" ref="E47:O47">E16*E18+E17*E19</f>
        <v>166666.6666666667</v>
      </c>
      <c r="F47" s="85">
        <f t="shared" si="14"/>
        <v>166666.6666666667</v>
      </c>
      <c r="G47" s="85">
        <f t="shared" si="14"/>
        <v>166666.6666666667</v>
      </c>
      <c r="H47" s="85">
        <f t="shared" si="14"/>
        <v>166666.6666666667</v>
      </c>
      <c r="I47" s="85">
        <f t="shared" si="14"/>
        <v>166666.6666666667</v>
      </c>
      <c r="J47" s="85">
        <f t="shared" si="14"/>
        <v>166666.6666666667</v>
      </c>
      <c r="K47" s="85">
        <f t="shared" si="14"/>
        <v>166666.6666666667</v>
      </c>
      <c r="L47" s="85">
        <f t="shared" si="14"/>
        <v>166666.6666666667</v>
      </c>
      <c r="M47" s="85">
        <f t="shared" si="14"/>
        <v>166666.6666666667</v>
      </c>
      <c r="N47" s="85">
        <f t="shared" si="14"/>
        <v>166666.6666666667</v>
      </c>
      <c r="O47" s="85">
        <f t="shared" si="14"/>
        <v>166666.6666666667</v>
      </c>
    </row>
    <row r="48" spans="2:15" ht="15" outlineLevel="1">
      <c r="B48" s="9" t="s">
        <v>39</v>
      </c>
      <c r="C48" s="17" t="s">
        <v>52</v>
      </c>
      <c r="D48" s="85">
        <v>100000</v>
      </c>
      <c r="E48" s="85">
        <f>D48</f>
        <v>100000</v>
      </c>
      <c r="F48" s="85">
        <f aca="true" t="shared" si="15" ref="F48:O48">E48</f>
        <v>100000</v>
      </c>
      <c r="G48" s="85">
        <f t="shared" si="15"/>
        <v>100000</v>
      </c>
      <c r="H48" s="85">
        <f t="shared" si="15"/>
        <v>100000</v>
      </c>
      <c r="I48" s="85">
        <f t="shared" si="15"/>
        <v>100000</v>
      </c>
      <c r="J48" s="85">
        <f t="shared" si="15"/>
        <v>100000</v>
      </c>
      <c r="K48" s="85">
        <f t="shared" si="15"/>
        <v>100000</v>
      </c>
      <c r="L48" s="85">
        <f t="shared" si="15"/>
        <v>100000</v>
      </c>
      <c r="M48" s="85">
        <f t="shared" si="15"/>
        <v>100000</v>
      </c>
      <c r="N48" s="85">
        <f t="shared" si="15"/>
        <v>100000</v>
      </c>
      <c r="O48" s="85">
        <f t="shared" si="15"/>
        <v>100000</v>
      </c>
    </row>
    <row r="49" spans="2:15" ht="15" outlineLevel="1">
      <c r="B49" s="9" t="s">
        <v>119</v>
      </c>
      <c r="C49" s="17" t="s">
        <v>52</v>
      </c>
      <c r="D49" s="85">
        <f>D48*30.6%+D48*13%</f>
        <v>43600</v>
      </c>
      <c r="E49" s="85">
        <f>E48*30.6%+E48*13%</f>
        <v>43600</v>
      </c>
      <c r="F49" s="85">
        <f aca="true" t="shared" si="16" ref="F49:O49">F48*30.6%+F48*13%</f>
        <v>43600</v>
      </c>
      <c r="G49" s="85">
        <f t="shared" si="16"/>
        <v>43600</v>
      </c>
      <c r="H49" s="85">
        <f t="shared" si="16"/>
        <v>43600</v>
      </c>
      <c r="I49" s="85">
        <f t="shared" si="16"/>
        <v>43600</v>
      </c>
      <c r="J49" s="85">
        <f t="shared" si="16"/>
        <v>43600</v>
      </c>
      <c r="K49" s="85">
        <f t="shared" si="16"/>
        <v>43600</v>
      </c>
      <c r="L49" s="85">
        <f t="shared" si="16"/>
        <v>43600</v>
      </c>
      <c r="M49" s="85">
        <f t="shared" si="16"/>
        <v>43600</v>
      </c>
      <c r="N49" s="85">
        <f t="shared" si="16"/>
        <v>43600</v>
      </c>
      <c r="O49" s="85">
        <f t="shared" si="16"/>
        <v>43600</v>
      </c>
    </row>
    <row r="50" spans="2:15" ht="15" outlineLevel="1">
      <c r="B50" s="9" t="s">
        <v>40</v>
      </c>
      <c r="C50" s="17" t="s">
        <v>52</v>
      </c>
      <c r="D50" s="85">
        <v>10000</v>
      </c>
      <c r="E50" s="85">
        <f>D50</f>
        <v>10000</v>
      </c>
      <c r="F50" s="85">
        <f aca="true" t="shared" si="17" ref="F50:O50">E50</f>
        <v>10000</v>
      </c>
      <c r="G50" s="85">
        <f t="shared" si="17"/>
        <v>10000</v>
      </c>
      <c r="H50" s="85">
        <f t="shared" si="17"/>
        <v>10000</v>
      </c>
      <c r="I50" s="85">
        <f t="shared" si="17"/>
        <v>10000</v>
      </c>
      <c r="J50" s="85">
        <f t="shared" si="17"/>
        <v>10000</v>
      </c>
      <c r="K50" s="85">
        <f t="shared" si="17"/>
        <v>10000</v>
      </c>
      <c r="L50" s="85">
        <f t="shared" si="17"/>
        <v>10000</v>
      </c>
      <c r="M50" s="85">
        <f t="shared" si="17"/>
        <v>10000</v>
      </c>
      <c r="N50" s="85">
        <f t="shared" si="17"/>
        <v>10000</v>
      </c>
      <c r="O50" s="85">
        <f t="shared" si="17"/>
        <v>10000</v>
      </c>
    </row>
    <row r="51" spans="2:15" ht="15" outlineLevel="1">
      <c r="B51" s="9" t="s">
        <v>41</v>
      </c>
      <c r="C51" s="17" t="s">
        <v>52</v>
      </c>
      <c r="D51" s="85">
        <v>20000</v>
      </c>
      <c r="E51" s="85">
        <f>D51</f>
        <v>20000</v>
      </c>
      <c r="F51" s="85">
        <f aca="true" t="shared" si="18" ref="F51:O51">E51</f>
        <v>20000</v>
      </c>
      <c r="G51" s="85">
        <f t="shared" si="18"/>
        <v>20000</v>
      </c>
      <c r="H51" s="85">
        <f t="shared" si="18"/>
        <v>20000</v>
      </c>
      <c r="I51" s="85">
        <f t="shared" si="18"/>
        <v>20000</v>
      </c>
      <c r="J51" s="85">
        <f t="shared" si="18"/>
        <v>20000</v>
      </c>
      <c r="K51" s="85">
        <f t="shared" si="18"/>
        <v>20000</v>
      </c>
      <c r="L51" s="85">
        <f t="shared" si="18"/>
        <v>20000</v>
      </c>
      <c r="M51" s="85">
        <f t="shared" si="18"/>
        <v>20000</v>
      </c>
      <c r="N51" s="85">
        <f t="shared" si="18"/>
        <v>20000</v>
      </c>
      <c r="O51" s="85">
        <f t="shared" si="18"/>
        <v>20000</v>
      </c>
    </row>
    <row r="52" spans="2:15" ht="15" outlineLevel="1">
      <c r="B52" s="9" t="s">
        <v>7</v>
      </c>
      <c r="C52" s="17" t="s">
        <v>52</v>
      </c>
      <c r="D52" s="85">
        <v>0</v>
      </c>
      <c r="E52" s="85">
        <v>0</v>
      </c>
      <c r="F52" s="85">
        <v>1</v>
      </c>
      <c r="G52" s="85">
        <v>2</v>
      </c>
      <c r="H52" s="85">
        <v>3</v>
      </c>
      <c r="I52" s="85">
        <v>4</v>
      </c>
      <c r="J52" s="85">
        <v>5</v>
      </c>
      <c r="K52" s="85">
        <v>6</v>
      </c>
      <c r="L52" s="85">
        <v>7</v>
      </c>
      <c r="M52" s="85">
        <v>8</v>
      </c>
      <c r="N52" s="85">
        <v>9</v>
      </c>
      <c r="O52" s="85">
        <v>10</v>
      </c>
    </row>
    <row r="53" spans="2:15" ht="15" outlineLevel="1">
      <c r="B53" s="9" t="s">
        <v>42</v>
      </c>
      <c r="C53" s="17" t="s">
        <v>52</v>
      </c>
      <c r="D53" s="85">
        <v>5000</v>
      </c>
      <c r="E53" s="85">
        <f>D53</f>
        <v>5000</v>
      </c>
      <c r="F53" s="85">
        <f aca="true" t="shared" si="19" ref="F53:O53">E53</f>
        <v>5000</v>
      </c>
      <c r="G53" s="85">
        <f t="shared" si="19"/>
        <v>5000</v>
      </c>
      <c r="H53" s="85">
        <f t="shared" si="19"/>
        <v>5000</v>
      </c>
      <c r="I53" s="85">
        <f t="shared" si="19"/>
        <v>5000</v>
      </c>
      <c r="J53" s="85">
        <f t="shared" si="19"/>
        <v>5000</v>
      </c>
      <c r="K53" s="85">
        <f t="shared" si="19"/>
        <v>5000</v>
      </c>
      <c r="L53" s="85">
        <f t="shared" si="19"/>
        <v>5000</v>
      </c>
      <c r="M53" s="85">
        <f t="shared" si="19"/>
        <v>5000</v>
      </c>
      <c r="N53" s="85">
        <f t="shared" si="19"/>
        <v>5000</v>
      </c>
      <c r="O53" s="85">
        <f t="shared" si="19"/>
        <v>5000</v>
      </c>
    </row>
    <row r="54" spans="2:15" ht="15" outlineLevel="1">
      <c r="B54" s="9" t="s">
        <v>9</v>
      </c>
      <c r="C54" s="17" t="s">
        <v>52</v>
      </c>
      <c r="D54" s="85">
        <v>20000</v>
      </c>
      <c r="E54" s="85">
        <f>D54</f>
        <v>20000</v>
      </c>
      <c r="F54" s="85">
        <f aca="true" t="shared" si="20" ref="F54:O54">E54</f>
        <v>20000</v>
      </c>
      <c r="G54" s="85">
        <f t="shared" si="20"/>
        <v>20000</v>
      </c>
      <c r="H54" s="85">
        <f t="shared" si="20"/>
        <v>20000</v>
      </c>
      <c r="I54" s="85">
        <f t="shared" si="20"/>
        <v>20000</v>
      </c>
      <c r="J54" s="85">
        <f t="shared" si="20"/>
        <v>20000</v>
      </c>
      <c r="K54" s="85">
        <f t="shared" si="20"/>
        <v>20000</v>
      </c>
      <c r="L54" s="85">
        <f t="shared" si="20"/>
        <v>20000</v>
      </c>
      <c r="M54" s="85">
        <f t="shared" si="20"/>
        <v>20000</v>
      </c>
      <c r="N54" s="85">
        <f t="shared" si="20"/>
        <v>20000</v>
      </c>
      <c r="O54" s="85">
        <f t="shared" si="20"/>
        <v>20000</v>
      </c>
    </row>
    <row r="55" spans="2:15" ht="8.25" customHeight="1">
      <c r="B55" s="32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8"/>
    </row>
    <row r="56" spans="2:15" ht="15" outlineLevel="1">
      <c r="B56" s="9" t="s">
        <v>95</v>
      </c>
      <c r="C56" s="17"/>
      <c r="D56" s="85">
        <f>D40-D44-D46</f>
        <v>59733.333333333314</v>
      </c>
      <c r="E56" s="85">
        <f>E40-E44-E46</f>
        <v>59733.333333333314</v>
      </c>
      <c r="F56" s="85">
        <f aca="true" t="shared" si="21" ref="F56:O56">F40-F44-F46</f>
        <v>59732.333333333314</v>
      </c>
      <c r="G56" s="85">
        <f t="shared" si="21"/>
        <v>59731.333333333314</v>
      </c>
      <c r="H56" s="85">
        <f t="shared" si="21"/>
        <v>59730.333333333314</v>
      </c>
      <c r="I56" s="85">
        <f t="shared" si="21"/>
        <v>59729.333333333314</v>
      </c>
      <c r="J56" s="85">
        <f t="shared" si="21"/>
        <v>59728.333333333314</v>
      </c>
      <c r="K56" s="85">
        <f t="shared" si="21"/>
        <v>59727.333333333314</v>
      </c>
      <c r="L56" s="85">
        <f t="shared" si="21"/>
        <v>59726.333333333314</v>
      </c>
      <c r="M56" s="85">
        <f t="shared" si="21"/>
        <v>59725.333333333314</v>
      </c>
      <c r="N56" s="85">
        <f t="shared" si="21"/>
        <v>59724.333333333314</v>
      </c>
      <c r="O56" s="85">
        <f t="shared" si="21"/>
        <v>59723.333333333314</v>
      </c>
    </row>
    <row r="57" spans="2:15" ht="9" customHeight="1">
      <c r="B57" s="33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8"/>
    </row>
    <row r="58" spans="2:15" ht="13.5" thickBot="1">
      <c r="B58" s="34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2:15" ht="13.5" thickBo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0.75" customHeight="1">
      <c r="B60" s="103"/>
      <c r="C60" s="104"/>
      <c r="D60" s="105"/>
      <c r="E60" s="106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33.75" customHeight="1">
      <c r="B61" s="107" t="s">
        <v>43</v>
      </c>
      <c r="C61" s="25"/>
      <c r="D61" s="26"/>
      <c r="E61" s="28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9" customHeight="1" hidden="1">
      <c r="B62" s="33"/>
      <c r="C62" s="25"/>
      <c r="D62" s="26"/>
      <c r="E62" s="28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5.75">
      <c r="B63" s="27" t="s">
        <v>14</v>
      </c>
      <c r="C63" s="3" t="s">
        <v>15</v>
      </c>
      <c r="D63" s="139" t="s">
        <v>50</v>
      </c>
      <c r="E63" s="140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5.75">
      <c r="B64" s="8" t="s">
        <v>44</v>
      </c>
      <c r="C64" s="17" t="s">
        <v>37</v>
      </c>
      <c r="D64" s="133">
        <v>5</v>
      </c>
      <c r="E64" s="13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5.75">
      <c r="B65" s="8" t="s">
        <v>45</v>
      </c>
      <c r="C65" s="17" t="s">
        <v>56</v>
      </c>
      <c r="D65" s="133">
        <v>5</v>
      </c>
      <c r="E65" s="13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5.75">
      <c r="B66" s="8" t="s">
        <v>46</v>
      </c>
      <c r="C66" s="17" t="s">
        <v>37</v>
      </c>
      <c r="D66" s="133">
        <v>10</v>
      </c>
      <c r="E66" s="13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31.5">
      <c r="B67" s="8" t="s">
        <v>47</v>
      </c>
      <c r="C67" s="17" t="s">
        <v>37</v>
      </c>
      <c r="D67" s="133">
        <v>0</v>
      </c>
      <c r="E67" s="13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5.75">
      <c r="B68" s="8" t="s">
        <v>48</v>
      </c>
      <c r="C68" s="17" t="s">
        <v>37</v>
      </c>
      <c r="D68" s="133">
        <v>5</v>
      </c>
      <c r="E68" s="13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31.5">
      <c r="B69" s="8" t="s">
        <v>49</v>
      </c>
      <c r="C69" s="17" t="s">
        <v>37</v>
      </c>
      <c r="D69" s="133">
        <v>0</v>
      </c>
      <c r="E69" s="13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5.75">
      <c r="B70" s="8" t="s">
        <v>25</v>
      </c>
      <c r="C70" s="17" t="s">
        <v>52</v>
      </c>
      <c r="D70" s="135">
        <v>130000</v>
      </c>
      <c r="E70" s="136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5.75">
      <c r="B71" s="8" t="s">
        <v>11</v>
      </c>
      <c r="C71" s="17" t="s">
        <v>37</v>
      </c>
      <c r="D71" s="137">
        <v>24</v>
      </c>
      <c r="E71" s="138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</sheetData>
  <sheetProtection/>
  <mergeCells count="16">
    <mergeCell ref="D68:E68"/>
    <mergeCell ref="D69:E69"/>
    <mergeCell ref="D70:E70"/>
    <mergeCell ref="D71:E71"/>
    <mergeCell ref="D63:E63"/>
    <mergeCell ref="D64:E64"/>
    <mergeCell ref="D65:E65"/>
    <mergeCell ref="D66:E66"/>
    <mergeCell ref="D67:E67"/>
    <mergeCell ref="C9:O9"/>
    <mergeCell ref="C10:O10"/>
    <mergeCell ref="C11:O11"/>
    <mergeCell ref="C2:O2"/>
    <mergeCell ref="C6:O6"/>
    <mergeCell ref="C7:O7"/>
    <mergeCell ref="C8:O8"/>
  </mergeCells>
  <hyperlinks>
    <hyperlink ref="B1" location="Содержание!A1" display="Вернуться в содержание"/>
  </hyperlink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8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3.00390625" style="14" hidden="1" customWidth="1"/>
    <col min="2" max="2" width="41.25390625" style="0" customWidth="1"/>
    <col min="3" max="5" width="11.625" style="0" bestFit="1" customWidth="1"/>
    <col min="6" max="6" width="12.00390625" style="0" bestFit="1" customWidth="1"/>
    <col min="7" max="14" width="12.75390625" style="0" bestFit="1" customWidth="1"/>
    <col min="15" max="15" width="13.875" style="1" bestFit="1" customWidth="1"/>
    <col min="16" max="16" width="12.00390625" style="14" customWidth="1"/>
    <col min="17" max="17" width="11.125" style="14" customWidth="1"/>
    <col min="18" max="18" width="11.625" style="14" customWidth="1"/>
    <col min="19" max="19" width="12.25390625" style="14" customWidth="1"/>
    <col min="20" max="126" width="9.125" style="14" customWidth="1"/>
  </cols>
  <sheetData>
    <row r="1" spans="2:15" ht="18.75" customHeight="1" thickBot="1">
      <c r="B1" s="55" t="s">
        <v>69</v>
      </c>
      <c r="C1" s="14"/>
      <c r="D1" s="14"/>
      <c r="E1" s="14"/>
      <c r="F1" s="14" t="s">
        <v>12</v>
      </c>
      <c r="G1" s="14"/>
      <c r="H1" s="14"/>
      <c r="I1" s="14"/>
      <c r="J1" s="14"/>
      <c r="K1" s="14"/>
      <c r="L1" s="14"/>
      <c r="M1" s="14"/>
      <c r="N1" s="14"/>
      <c r="O1" s="14"/>
    </row>
    <row r="2" spans="2:15" ht="16.5" thickBot="1">
      <c r="B2" s="4" t="s">
        <v>57</v>
      </c>
      <c r="C2" s="130" t="str">
        <f>Параметры!C2</f>
        <v>Ресторан бренда "Х", формата Y (винотека)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43"/>
    </row>
    <row r="3" spans="2:15" ht="9" customHeight="1">
      <c r="B3" s="44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9" ht="15.75">
      <c r="B4" s="38" t="s">
        <v>62</v>
      </c>
      <c r="C4" s="141" t="s">
        <v>107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2"/>
      <c r="P4" s="109" t="s">
        <v>0</v>
      </c>
      <c r="Q4" s="109" t="s">
        <v>1</v>
      </c>
      <c r="R4" s="109" t="s">
        <v>2</v>
      </c>
      <c r="S4" s="110" t="s">
        <v>3</v>
      </c>
    </row>
    <row r="5" spans="2:19" ht="21.75" customHeight="1">
      <c r="B5" s="39"/>
      <c r="C5" s="36">
        <v>1</v>
      </c>
      <c r="D5" s="36">
        <f>C5+1</f>
        <v>2</v>
      </c>
      <c r="E5" s="36">
        <f aca="true" t="shared" si="0" ref="E5:N5">D5+1</f>
        <v>3</v>
      </c>
      <c r="F5" s="36">
        <f t="shared" si="0"/>
        <v>4</v>
      </c>
      <c r="G5" s="36">
        <f t="shared" si="0"/>
        <v>5</v>
      </c>
      <c r="H5" s="36">
        <f t="shared" si="0"/>
        <v>6</v>
      </c>
      <c r="I5" s="36">
        <f t="shared" si="0"/>
        <v>7</v>
      </c>
      <c r="J5" s="36">
        <f t="shared" si="0"/>
        <v>8</v>
      </c>
      <c r="K5" s="36">
        <f t="shared" si="0"/>
        <v>9</v>
      </c>
      <c r="L5" s="36">
        <f t="shared" si="0"/>
        <v>10</v>
      </c>
      <c r="M5" s="36">
        <f t="shared" si="0"/>
        <v>11</v>
      </c>
      <c r="N5" s="36">
        <f t="shared" si="0"/>
        <v>12</v>
      </c>
      <c r="O5" s="37" t="s">
        <v>4</v>
      </c>
      <c r="P5" s="111">
        <v>2</v>
      </c>
      <c r="Q5" s="111">
        <v>3</v>
      </c>
      <c r="R5" s="111">
        <v>4</v>
      </c>
      <c r="S5" s="112">
        <v>5</v>
      </c>
    </row>
    <row r="6" spans="2:19" ht="15.75">
      <c r="B6" s="40" t="s">
        <v>58</v>
      </c>
      <c r="C6" s="96">
        <f>Параметры!D41</f>
        <v>850000</v>
      </c>
      <c r="D6" s="96">
        <f>Параметры!E41</f>
        <v>850000</v>
      </c>
      <c r="E6" s="96">
        <f>Параметры!F41</f>
        <v>850000</v>
      </c>
      <c r="F6" s="96">
        <f>Параметры!G41</f>
        <v>850000</v>
      </c>
      <c r="G6" s="96">
        <f>Параметры!H41</f>
        <v>850000</v>
      </c>
      <c r="H6" s="96">
        <f>Параметры!I41</f>
        <v>850000</v>
      </c>
      <c r="I6" s="96">
        <f>Параметры!J41</f>
        <v>850000</v>
      </c>
      <c r="J6" s="96">
        <f>Параметры!K41</f>
        <v>850000</v>
      </c>
      <c r="K6" s="96">
        <f>Параметры!L41</f>
        <v>850000</v>
      </c>
      <c r="L6" s="96">
        <f>Параметры!M41</f>
        <v>850000</v>
      </c>
      <c r="M6" s="96">
        <f>Параметры!N41</f>
        <v>850000</v>
      </c>
      <c r="N6" s="96">
        <f>Параметры!O41</f>
        <v>850000</v>
      </c>
      <c r="O6" s="97">
        <f>SUM(C6:N6)</f>
        <v>10200000</v>
      </c>
      <c r="P6" s="97">
        <f>O6*(1+Параметры!$D$64/100)</f>
        <v>10710000</v>
      </c>
      <c r="Q6" s="97">
        <f>P6*(1+Параметры!$D$64/100)</f>
        <v>11245500</v>
      </c>
      <c r="R6" s="97">
        <f>Q6*(1+Параметры!$D$64/100)</f>
        <v>11807775</v>
      </c>
      <c r="S6" s="97">
        <f>R6*(1+Параметры!$D$64/100)</f>
        <v>12398163.75</v>
      </c>
    </row>
    <row r="7" spans="2:19" ht="13.5" customHeight="1">
      <c r="B7" s="40" t="s">
        <v>102</v>
      </c>
      <c r="C7" s="101">
        <f>C9/C6</f>
        <v>0.5</v>
      </c>
      <c r="D7" s="101">
        <f aca="true" t="shared" si="1" ref="D7:N7">D9/D6</f>
        <v>0.5</v>
      </c>
      <c r="E7" s="101">
        <f t="shared" si="1"/>
        <v>0.5</v>
      </c>
      <c r="F7" s="101">
        <f t="shared" si="1"/>
        <v>0.5</v>
      </c>
      <c r="G7" s="101">
        <f t="shared" si="1"/>
        <v>0.5</v>
      </c>
      <c r="H7" s="101">
        <f t="shared" si="1"/>
        <v>0.5</v>
      </c>
      <c r="I7" s="101">
        <f t="shared" si="1"/>
        <v>0.5</v>
      </c>
      <c r="J7" s="101">
        <f t="shared" si="1"/>
        <v>0.5</v>
      </c>
      <c r="K7" s="101">
        <f t="shared" si="1"/>
        <v>0.5</v>
      </c>
      <c r="L7" s="101">
        <f t="shared" si="1"/>
        <v>0.5</v>
      </c>
      <c r="M7" s="101">
        <f t="shared" si="1"/>
        <v>0.5</v>
      </c>
      <c r="N7" s="101">
        <f t="shared" si="1"/>
        <v>0.5</v>
      </c>
      <c r="O7" s="102">
        <f>O9/O6</f>
        <v>0.5</v>
      </c>
      <c r="P7" s="102">
        <f>O7*(1+Параметры!$D$65/100)</f>
        <v>0.525</v>
      </c>
      <c r="Q7" s="102">
        <f>P7*(1+Параметры!$D$65/100)</f>
        <v>0.55125</v>
      </c>
      <c r="R7" s="102">
        <f>Q7*(1+Параметры!$D$65/100)</f>
        <v>0.5788125000000001</v>
      </c>
      <c r="S7" s="102">
        <f>R7*(1+Параметры!$D$65/100)</f>
        <v>0.6077531250000001</v>
      </c>
    </row>
    <row r="8" spans="2:19" ht="13.5" customHeight="1">
      <c r="B8" s="41" t="s">
        <v>54</v>
      </c>
      <c r="C8" s="96">
        <f>Параметры!D44</f>
        <v>425000</v>
      </c>
      <c r="D8" s="96">
        <f>Параметры!E44</f>
        <v>425000</v>
      </c>
      <c r="E8" s="96">
        <f>Параметры!F44</f>
        <v>425000</v>
      </c>
      <c r="F8" s="96">
        <f>Параметры!G44</f>
        <v>425000</v>
      </c>
      <c r="G8" s="96">
        <f>Параметры!H44</f>
        <v>425000</v>
      </c>
      <c r="H8" s="96">
        <f>Параметры!I44</f>
        <v>425000</v>
      </c>
      <c r="I8" s="96">
        <f>Параметры!J44</f>
        <v>425000</v>
      </c>
      <c r="J8" s="96">
        <f>Параметры!K44</f>
        <v>425000</v>
      </c>
      <c r="K8" s="96">
        <f>Параметры!L44</f>
        <v>425000</v>
      </c>
      <c r="L8" s="96">
        <f>Параметры!M44</f>
        <v>425000</v>
      </c>
      <c r="M8" s="96">
        <f>Параметры!N44</f>
        <v>425000</v>
      </c>
      <c r="N8" s="96">
        <f>Параметры!O44</f>
        <v>425000</v>
      </c>
      <c r="O8" s="97">
        <f aca="true" t="shared" si="2" ref="O8:O15">SUM(C8:N8)</f>
        <v>5100000</v>
      </c>
      <c r="P8" s="97">
        <f>P6-P6*P7</f>
        <v>5087250</v>
      </c>
      <c r="Q8" s="97">
        <f>Q6-Q6*Q7</f>
        <v>5046418.125</v>
      </c>
      <c r="R8" s="97">
        <f>R6-R6*R7</f>
        <v>4973287.2328125</v>
      </c>
      <c r="S8" s="97">
        <f>S6-S6*S7</f>
        <v>4863140.98667578</v>
      </c>
    </row>
    <row r="9" spans="2:19" ht="13.5" customHeight="1">
      <c r="B9" s="38" t="s">
        <v>98</v>
      </c>
      <c r="C9" s="98">
        <f aca="true" t="shared" si="3" ref="C9:N9">C6-C8</f>
        <v>425000</v>
      </c>
      <c r="D9" s="98">
        <f t="shared" si="3"/>
        <v>425000</v>
      </c>
      <c r="E9" s="98">
        <f t="shared" si="3"/>
        <v>425000</v>
      </c>
      <c r="F9" s="98">
        <f t="shared" si="3"/>
        <v>425000</v>
      </c>
      <c r="G9" s="98">
        <f t="shared" si="3"/>
        <v>425000</v>
      </c>
      <c r="H9" s="98">
        <f t="shared" si="3"/>
        <v>425000</v>
      </c>
      <c r="I9" s="98">
        <f>I6-I8</f>
        <v>425000</v>
      </c>
      <c r="J9" s="98">
        <f t="shared" si="3"/>
        <v>425000</v>
      </c>
      <c r="K9" s="98">
        <f t="shared" si="3"/>
        <v>425000</v>
      </c>
      <c r="L9" s="98">
        <f t="shared" si="3"/>
        <v>425000</v>
      </c>
      <c r="M9" s="98">
        <f t="shared" si="3"/>
        <v>425000</v>
      </c>
      <c r="N9" s="98">
        <f t="shared" si="3"/>
        <v>425000</v>
      </c>
      <c r="O9" s="97">
        <f t="shared" si="2"/>
        <v>5100000</v>
      </c>
      <c r="P9" s="97">
        <f>P6-P8</f>
        <v>5622750</v>
      </c>
      <c r="Q9" s="97">
        <f>Q6-Q8</f>
        <v>6199081.875</v>
      </c>
      <c r="R9" s="97">
        <f>R6-R8</f>
        <v>6834487.7671875</v>
      </c>
      <c r="S9" s="97">
        <f>S6-S8</f>
        <v>7535022.76332422</v>
      </c>
    </row>
    <row r="10" spans="2:19" ht="13.5" customHeight="1">
      <c r="B10" s="40" t="s">
        <v>6</v>
      </c>
      <c r="C10" s="98">
        <f>Параметры!D46</f>
        <v>365266.6666666667</v>
      </c>
      <c r="D10" s="98">
        <f>Параметры!E46</f>
        <v>365266.6666666667</v>
      </c>
      <c r="E10" s="98">
        <f>Параметры!F46</f>
        <v>365267.6666666667</v>
      </c>
      <c r="F10" s="98">
        <f>Параметры!G46</f>
        <v>365268.6666666667</v>
      </c>
      <c r="G10" s="98">
        <f>Параметры!H46</f>
        <v>365269.6666666667</v>
      </c>
      <c r="H10" s="98">
        <f>Параметры!I46</f>
        <v>365270.6666666667</v>
      </c>
      <c r="I10" s="98">
        <f>Параметры!J46</f>
        <v>365271.6666666667</v>
      </c>
      <c r="J10" s="98">
        <f>Параметры!K46</f>
        <v>365272.6666666667</v>
      </c>
      <c r="K10" s="98">
        <f>Параметры!L46</f>
        <v>365273.6666666667</v>
      </c>
      <c r="L10" s="98">
        <f>Параметры!M46</f>
        <v>365274.6666666667</v>
      </c>
      <c r="M10" s="98">
        <f>Параметры!N46</f>
        <v>365275.6666666667</v>
      </c>
      <c r="N10" s="98">
        <f>Параметры!O46</f>
        <v>365276.6666666667</v>
      </c>
      <c r="O10" s="97">
        <f t="shared" si="2"/>
        <v>4383254.999999999</v>
      </c>
      <c r="P10" s="97">
        <f>O10*(1+Параметры!$D$66/100)</f>
        <v>4821580.499999999</v>
      </c>
      <c r="Q10" s="97">
        <f>P10*(1+Параметры!$D$66/100)</f>
        <v>5303738.55</v>
      </c>
      <c r="R10" s="97">
        <f>Q10*(1+Параметры!$D$66/100)</f>
        <v>5834112.405</v>
      </c>
      <c r="S10" s="97">
        <f>R10*(1+Параметры!$D$66/100)</f>
        <v>6417523.645500001</v>
      </c>
    </row>
    <row r="11" spans="2:19" ht="31.5">
      <c r="B11" s="38" t="s">
        <v>128</v>
      </c>
      <c r="C11" s="98">
        <f>C9-C10</f>
        <v>59733.333333333314</v>
      </c>
      <c r="D11" s="98">
        <f>D9-D10</f>
        <v>59733.333333333314</v>
      </c>
      <c r="E11" s="98">
        <f>E9-E10</f>
        <v>59732.333333333314</v>
      </c>
      <c r="F11" s="98">
        <f>F9-F10</f>
        <v>59731.333333333314</v>
      </c>
      <c r="G11" s="98">
        <f aca="true" t="shared" si="4" ref="G11:S11">G9-G10</f>
        <v>59730.333333333314</v>
      </c>
      <c r="H11" s="98">
        <f t="shared" si="4"/>
        <v>59729.333333333314</v>
      </c>
      <c r="I11" s="98">
        <f t="shared" si="4"/>
        <v>59728.333333333314</v>
      </c>
      <c r="J11" s="98">
        <f t="shared" si="4"/>
        <v>59727.333333333314</v>
      </c>
      <c r="K11" s="98">
        <f t="shared" si="4"/>
        <v>59726.333333333314</v>
      </c>
      <c r="L11" s="98">
        <f t="shared" si="4"/>
        <v>59725.333333333314</v>
      </c>
      <c r="M11" s="98">
        <f t="shared" si="4"/>
        <v>59724.333333333314</v>
      </c>
      <c r="N11" s="98">
        <f t="shared" si="4"/>
        <v>59723.333333333314</v>
      </c>
      <c r="O11" s="97">
        <f t="shared" si="2"/>
        <v>716744.9999999995</v>
      </c>
      <c r="P11" s="97">
        <f t="shared" si="4"/>
        <v>801169.5000000009</v>
      </c>
      <c r="Q11" s="97">
        <f t="shared" si="4"/>
        <v>895343.3250000002</v>
      </c>
      <c r="R11" s="97">
        <f t="shared" si="4"/>
        <v>1000375.3621875001</v>
      </c>
      <c r="S11" s="97">
        <f t="shared" si="4"/>
        <v>1117499.1178242192</v>
      </c>
    </row>
    <row r="12" spans="2:19" ht="13.5" customHeight="1">
      <c r="B12" s="40" t="s">
        <v>103</v>
      </c>
      <c r="C12" s="122">
        <v>0</v>
      </c>
      <c r="D12" s="122">
        <f>C12</f>
        <v>0</v>
      </c>
      <c r="E12" s="122">
        <f aca="true" t="shared" si="5" ref="E12:N12">D12</f>
        <v>0</v>
      </c>
      <c r="F12" s="122">
        <f t="shared" si="5"/>
        <v>0</v>
      </c>
      <c r="G12" s="122">
        <f t="shared" si="5"/>
        <v>0</v>
      </c>
      <c r="H12" s="122">
        <f t="shared" si="5"/>
        <v>0</v>
      </c>
      <c r="I12" s="122">
        <f t="shared" si="5"/>
        <v>0</v>
      </c>
      <c r="J12" s="122">
        <f t="shared" si="5"/>
        <v>0</v>
      </c>
      <c r="K12" s="122">
        <f t="shared" si="5"/>
        <v>0</v>
      </c>
      <c r="L12" s="122">
        <f t="shared" si="5"/>
        <v>0</v>
      </c>
      <c r="M12" s="122">
        <f t="shared" si="5"/>
        <v>0</v>
      </c>
      <c r="N12" s="122">
        <f t="shared" si="5"/>
        <v>0</v>
      </c>
      <c r="O12" s="97">
        <f t="shared" si="2"/>
        <v>0</v>
      </c>
      <c r="P12" s="97">
        <f>O12*(1+Параметры!$D$66/100)</f>
        <v>0</v>
      </c>
      <c r="Q12" s="97">
        <f>P12*(1+Параметры!$D$66/100)</f>
        <v>0</v>
      </c>
      <c r="R12" s="97">
        <f>Q12*(1+Параметры!$D$66/100)</f>
        <v>0</v>
      </c>
      <c r="S12" s="97">
        <f>R12*(1+Параметры!$D$66/100)</f>
        <v>0</v>
      </c>
    </row>
    <row r="13" spans="2:19" ht="13.5" customHeight="1">
      <c r="B13" s="38" t="s">
        <v>99</v>
      </c>
      <c r="C13" s="98">
        <f>C11-C12</f>
        <v>59733.333333333314</v>
      </c>
      <c r="D13" s="98">
        <f aca="true" t="shared" si="6" ref="D13:S13">D11-D12</f>
        <v>59733.333333333314</v>
      </c>
      <c r="E13" s="98">
        <f t="shared" si="6"/>
        <v>59732.333333333314</v>
      </c>
      <c r="F13" s="98">
        <f t="shared" si="6"/>
        <v>59731.333333333314</v>
      </c>
      <c r="G13" s="98">
        <f t="shared" si="6"/>
        <v>59730.333333333314</v>
      </c>
      <c r="H13" s="98">
        <f t="shared" si="6"/>
        <v>59729.333333333314</v>
      </c>
      <c r="I13" s="98">
        <f t="shared" si="6"/>
        <v>59728.333333333314</v>
      </c>
      <c r="J13" s="98">
        <f t="shared" si="6"/>
        <v>59727.333333333314</v>
      </c>
      <c r="K13" s="98">
        <f t="shared" si="6"/>
        <v>59726.333333333314</v>
      </c>
      <c r="L13" s="98">
        <f t="shared" si="6"/>
        <v>59725.333333333314</v>
      </c>
      <c r="M13" s="98">
        <f t="shared" si="6"/>
        <v>59724.333333333314</v>
      </c>
      <c r="N13" s="98">
        <f t="shared" si="6"/>
        <v>59723.333333333314</v>
      </c>
      <c r="O13" s="97">
        <f t="shared" si="2"/>
        <v>716744.9999999995</v>
      </c>
      <c r="P13" s="97">
        <f t="shared" si="6"/>
        <v>801169.5000000009</v>
      </c>
      <c r="Q13" s="97">
        <f t="shared" si="6"/>
        <v>895343.3250000002</v>
      </c>
      <c r="R13" s="97">
        <f t="shared" si="6"/>
        <v>1000375.3621875001</v>
      </c>
      <c r="S13" s="97">
        <f t="shared" si="6"/>
        <v>1117499.1178242192</v>
      </c>
    </row>
    <row r="14" spans="2:19" ht="13.5" customHeight="1">
      <c r="B14" s="40" t="s">
        <v>97</v>
      </c>
      <c r="C14" s="122">
        <v>0</v>
      </c>
      <c r="D14" s="122">
        <f>C14</f>
        <v>0</v>
      </c>
      <c r="E14" s="122">
        <f aca="true" t="shared" si="7" ref="E14:N14">D14</f>
        <v>0</v>
      </c>
      <c r="F14" s="122">
        <f t="shared" si="7"/>
        <v>0</v>
      </c>
      <c r="G14" s="122">
        <f t="shared" si="7"/>
        <v>0</v>
      </c>
      <c r="H14" s="122">
        <f t="shared" si="7"/>
        <v>0</v>
      </c>
      <c r="I14" s="122">
        <f t="shared" si="7"/>
        <v>0</v>
      </c>
      <c r="J14" s="122">
        <f t="shared" si="7"/>
        <v>0</v>
      </c>
      <c r="K14" s="122">
        <f t="shared" si="7"/>
        <v>0</v>
      </c>
      <c r="L14" s="122">
        <f t="shared" si="7"/>
        <v>0</v>
      </c>
      <c r="M14" s="122">
        <f t="shared" si="7"/>
        <v>0</v>
      </c>
      <c r="N14" s="122">
        <f t="shared" si="7"/>
        <v>0</v>
      </c>
      <c r="O14" s="97">
        <f t="shared" si="2"/>
        <v>0</v>
      </c>
      <c r="P14" s="97">
        <f>O14</f>
        <v>0</v>
      </c>
      <c r="Q14" s="97">
        <f>P14</f>
        <v>0</v>
      </c>
      <c r="R14" s="97">
        <f>Q14</f>
        <v>0</v>
      </c>
      <c r="S14" s="97">
        <f>R14</f>
        <v>0</v>
      </c>
    </row>
    <row r="15" spans="2:19" ht="31.5">
      <c r="B15" s="42" t="s">
        <v>59</v>
      </c>
      <c r="C15" s="98">
        <f aca="true" t="shared" si="8" ref="C15:N15">C13-C14</f>
        <v>59733.333333333314</v>
      </c>
      <c r="D15" s="98">
        <f t="shared" si="8"/>
        <v>59733.333333333314</v>
      </c>
      <c r="E15" s="98">
        <f t="shared" si="8"/>
        <v>59732.333333333314</v>
      </c>
      <c r="F15" s="98">
        <f t="shared" si="8"/>
        <v>59731.333333333314</v>
      </c>
      <c r="G15" s="98">
        <f t="shared" si="8"/>
        <v>59730.333333333314</v>
      </c>
      <c r="H15" s="98">
        <f t="shared" si="8"/>
        <v>59729.333333333314</v>
      </c>
      <c r="I15" s="98">
        <f t="shared" si="8"/>
        <v>59728.333333333314</v>
      </c>
      <c r="J15" s="98">
        <f t="shared" si="8"/>
        <v>59727.333333333314</v>
      </c>
      <c r="K15" s="98">
        <f t="shared" si="8"/>
        <v>59726.333333333314</v>
      </c>
      <c r="L15" s="98">
        <f t="shared" si="8"/>
        <v>59725.333333333314</v>
      </c>
      <c r="M15" s="98">
        <f t="shared" si="8"/>
        <v>59724.333333333314</v>
      </c>
      <c r="N15" s="98">
        <f t="shared" si="8"/>
        <v>59723.333333333314</v>
      </c>
      <c r="O15" s="97">
        <f t="shared" si="2"/>
        <v>716744.9999999995</v>
      </c>
      <c r="P15" s="97">
        <f>P13-P14</f>
        <v>801169.5000000009</v>
      </c>
      <c r="Q15" s="97">
        <f>Q13-Q14</f>
        <v>895343.3250000002</v>
      </c>
      <c r="R15" s="97">
        <f>R13-R14</f>
        <v>1000375.3621875001</v>
      </c>
      <c r="S15" s="97">
        <f>S13-S14</f>
        <v>1117499.1178242192</v>
      </c>
    </row>
    <row r="16" spans="2:19" ht="13.5" customHeight="1">
      <c r="B16" s="40" t="s">
        <v>7</v>
      </c>
      <c r="C16" s="98">
        <f>Параметры!D52</f>
        <v>0</v>
      </c>
      <c r="D16" s="98">
        <f>Параметры!E52</f>
        <v>0</v>
      </c>
      <c r="E16" s="98">
        <f>Параметры!F52</f>
        <v>1</v>
      </c>
      <c r="F16" s="98">
        <f>Параметры!G52</f>
        <v>2</v>
      </c>
      <c r="G16" s="98">
        <f>Параметры!H52</f>
        <v>3</v>
      </c>
      <c r="H16" s="98">
        <f>Параметры!I52</f>
        <v>4</v>
      </c>
      <c r="I16" s="98">
        <f>Параметры!J52</f>
        <v>5</v>
      </c>
      <c r="J16" s="98">
        <f>Параметры!K52</f>
        <v>6</v>
      </c>
      <c r="K16" s="98">
        <f>Параметры!L52</f>
        <v>7</v>
      </c>
      <c r="L16" s="98">
        <f>Параметры!M52</f>
        <v>8</v>
      </c>
      <c r="M16" s="98">
        <f>Параметры!N52</f>
        <v>9</v>
      </c>
      <c r="N16" s="98">
        <f>Параметры!O52</f>
        <v>10</v>
      </c>
      <c r="O16" s="97">
        <f aca="true" t="shared" si="9" ref="O16:O24">SUM(C16:N16)</f>
        <v>55</v>
      </c>
      <c r="P16" s="97"/>
      <c r="Q16" s="97"/>
      <c r="R16" s="97"/>
      <c r="S16" s="97"/>
    </row>
    <row r="17" spans="2:19" ht="13.5" customHeight="1">
      <c r="B17" s="40" t="s">
        <v>65</v>
      </c>
      <c r="C17" s="99">
        <v>0</v>
      </c>
      <c r="D17" s="99">
        <f>Параметры!E32</f>
        <v>0</v>
      </c>
      <c r="E17" s="99">
        <f>Параметры!F32</f>
        <v>0</v>
      </c>
      <c r="F17" s="99">
        <f>Параметры!G32</f>
        <v>0</v>
      </c>
      <c r="G17" s="99">
        <f>Параметры!H32</f>
        <v>0</v>
      </c>
      <c r="H17" s="99">
        <f>Параметры!I32</f>
        <v>0</v>
      </c>
      <c r="I17" s="99">
        <f>Параметры!J32</f>
        <v>0</v>
      </c>
      <c r="J17" s="99">
        <f>Параметры!K32</f>
        <v>0</v>
      </c>
      <c r="K17" s="99">
        <f>Параметры!L32</f>
        <v>0</v>
      </c>
      <c r="L17" s="99">
        <f>Параметры!M32</f>
        <v>0</v>
      </c>
      <c r="M17" s="99">
        <f>Параметры!N32</f>
        <v>0</v>
      </c>
      <c r="N17" s="99">
        <f>Параметры!O32</f>
        <v>0</v>
      </c>
      <c r="O17" s="97">
        <f t="shared" si="9"/>
        <v>0</v>
      </c>
      <c r="P17" s="97"/>
      <c r="Q17" s="97"/>
      <c r="R17" s="97"/>
      <c r="S17" s="97"/>
    </row>
    <row r="18" spans="2:19" ht="13.5" customHeight="1">
      <c r="B18" s="40" t="s">
        <v>61</v>
      </c>
      <c r="C18" s="99">
        <f>Параметры!D34</f>
        <v>0</v>
      </c>
      <c r="D18" s="99">
        <f>Параметры!E34</f>
        <v>0</v>
      </c>
      <c r="E18" s="99">
        <f>Параметры!F34</f>
        <v>0</v>
      </c>
      <c r="F18" s="99">
        <f>Параметры!G34</f>
        <v>0</v>
      </c>
      <c r="G18" s="99">
        <f>Параметры!H34</f>
        <v>0</v>
      </c>
      <c r="H18" s="99">
        <f>Параметры!I34</f>
        <v>0</v>
      </c>
      <c r="I18" s="99">
        <f>Параметры!J34</f>
        <v>0</v>
      </c>
      <c r="J18" s="99">
        <f>Параметры!K34</f>
        <v>0</v>
      </c>
      <c r="K18" s="99">
        <f>Параметры!L34</f>
        <v>0</v>
      </c>
      <c r="L18" s="99">
        <f>Параметры!M34</f>
        <v>0</v>
      </c>
      <c r="M18" s="99">
        <f>Параметры!N34</f>
        <v>0</v>
      </c>
      <c r="N18" s="99">
        <f>Параметры!O34</f>
        <v>0</v>
      </c>
      <c r="O18" s="97"/>
      <c r="P18" s="97"/>
      <c r="Q18" s="97"/>
      <c r="R18" s="97"/>
      <c r="S18" s="97"/>
    </row>
    <row r="19" spans="2:19" ht="13.5" customHeight="1">
      <c r="B19" s="40" t="s">
        <v>64</v>
      </c>
      <c r="C19" s="108">
        <f>C20-0</f>
        <v>1000000</v>
      </c>
      <c r="D19" s="108">
        <f>Параметры!E32</f>
        <v>0</v>
      </c>
      <c r="E19" s="108">
        <f>Параметры!F32</f>
        <v>0</v>
      </c>
      <c r="F19" s="108">
        <f>Параметры!G32</f>
        <v>0</v>
      </c>
      <c r="G19" s="108">
        <f>Параметры!H32</f>
        <v>0</v>
      </c>
      <c r="H19" s="108">
        <f>Параметры!I32</f>
        <v>0</v>
      </c>
      <c r="I19" s="108">
        <f>Параметры!J32</f>
        <v>0</v>
      </c>
      <c r="J19" s="108">
        <f>Параметры!K32</f>
        <v>0</v>
      </c>
      <c r="K19" s="108">
        <f>Параметры!L32</f>
        <v>0</v>
      </c>
      <c r="L19" s="108">
        <f>Параметры!M32</f>
        <v>0</v>
      </c>
      <c r="M19" s="108">
        <f>Параметры!N32</f>
        <v>0</v>
      </c>
      <c r="N19" s="108">
        <f>Параметры!O32</f>
        <v>0</v>
      </c>
      <c r="O19" s="97">
        <f t="shared" si="9"/>
        <v>1000000</v>
      </c>
      <c r="P19" s="97">
        <f>P20-N20</f>
        <v>50000</v>
      </c>
      <c r="Q19" s="97">
        <f>Q20-P20</f>
        <v>52500</v>
      </c>
      <c r="R19" s="97">
        <f>R20-Q20</f>
        <v>55125</v>
      </c>
      <c r="S19" s="97">
        <f>S20-R20</f>
        <v>57881.25</v>
      </c>
    </row>
    <row r="20" spans="2:19" ht="13.5" customHeight="1">
      <c r="B20" s="40" t="s">
        <v>27</v>
      </c>
      <c r="C20" s="99">
        <f>Параметры!D33</f>
        <v>1000000</v>
      </c>
      <c r="D20" s="99">
        <f>Параметры!E33</f>
        <v>1000000</v>
      </c>
      <c r="E20" s="99">
        <f>Параметры!F33</f>
        <v>1000000</v>
      </c>
      <c r="F20" s="99">
        <f>Параметры!G33</f>
        <v>1000000</v>
      </c>
      <c r="G20" s="99">
        <f>Параметры!H33</f>
        <v>1000000</v>
      </c>
      <c r="H20" s="99">
        <f>Параметры!I33</f>
        <v>1000000</v>
      </c>
      <c r="I20" s="99">
        <f>Параметры!J33</f>
        <v>1000000</v>
      </c>
      <c r="J20" s="99">
        <f>Параметры!K33</f>
        <v>1000000</v>
      </c>
      <c r="K20" s="99">
        <f>Параметры!L33</f>
        <v>1000000</v>
      </c>
      <c r="L20" s="99">
        <f>Параметры!M33</f>
        <v>1000000</v>
      </c>
      <c r="M20" s="99">
        <f>Параметры!N33</f>
        <v>1000000</v>
      </c>
      <c r="N20" s="99">
        <f>Параметры!O33</f>
        <v>1000000</v>
      </c>
      <c r="O20" s="97"/>
      <c r="P20" s="97">
        <f>N20*(1+Параметры!$D$68/100)</f>
        <v>1050000</v>
      </c>
      <c r="Q20" s="97">
        <f>P20*(1+Параметры!$D$68/100)</f>
        <v>1102500</v>
      </c>
      <c r="R20" s="97">
        <f>Q20*(1+Параметры!$D$68/100)</f>
        <v>1157625</v>
      </c>
      <c r="S20" s="97">
        <f>R20*(1+Параметры!$D$68/100)</f>
        <v>1215506.25</v>
      </c>
    </row>
    <row r="21" spans="2:19" ht="31.5">
      <c r="B21" s="40" t="s">
        <v>70</v>
      </c>
      <c r="C21" s="99">
        <f>C22-0</f>
        <v>1000000</v>
      </c>
      <c r="D21" s="99">
        <f>D22-C22</f>
        <v>0</v>
      </c>
      <c r="E21" s="99">
        <f aca="true" t="shared" si="10" ref="E21:N21">E22-D22</f>
        <v>0</v>
      </c>
      <c r="F21" s="99">
        <f t="shared" si="10"/>
        <v>0</v>
      </c>
      <c r="G21" s="99">
        <f t="shared" si="10"/>
        <v>0</v>
      </c>
      <c r="H21" s="99">
        <f t="shared" si="10"/>
        <v>0</v>
      </c>
      <c r="I21" s="99">
        <f t="shared" si="10"/>
        <v>0</v>
      </c>
      <c r="J21" s="99">
        <f t="shared" si="10"/>
        <v>0</v>
      </c>
      <c r="K21" s="99">
        <f t="shared" si="10"/>
        <v>0</v>
      </c>
      <c r="L21" s="99">
        <f t="shared" si="10"/>
        <v>0</v>
      </c>
      <c r="M21" s="99">
        <f t="shared" si="10"/>
        <v>0</v>
      </c>
      <c r="N21" s="99">
        <f t="shared" si="10"/>
        <v>0</v>
      </c>
      <c r="O21" s="97">
        <f t="shared" si="9"/>
        <v>1000000</v>
      </c>
      <c r="P21" s="97"/>
      <c r="Q21" s="97"/>
      <c r="R21" s="97"/>
      <c r="S21" s="97"/>
    </row>
    <row r="22" spans="2:19" ht="13.5" customHeight="1">
      <c r="B22" s="40" t="s">
        <v>60</v>
      </c>
      <c r="C22" s="99">
        <f>Параметры!D35</f>
        <v>1000000</v>
      </c>
      <c r="D22" s="99">
        <f>Параметры!E35</f>
        <v>1000000</v>
      </c>
      <c r="E22" s="99">
        <f>Параметры!F35</f>
        <v>1000000</v>
      </c>
      <c r="F22" s="99">
        <f>Параметры!G35</f>
        <v>1000000</v>
      </c>
      <c r="G22" s="99">
        <f>Параметры!H35</f>
        <v>1000000</v>
      </c>
      <c r="H22" s="99">
        <f>Параметры!I35</f>
        <v>1000000</v>
      </c>
      <c r="I22" s="99">
        <f>Параметры!J35</f>
        <v>1000000</v>
      </c>
      <c r="J22" s="99">
        <f>Параметры!K35</f>
        <v>1000000</v>
      </c>
      <c r="K22" s="99">
        <f>Параметры!L35</f>
        <v>1000000</v>
      </c>
      <c r="L22" s="99">
        <f>Параметры!M35</f>
        <v>1000000</v>
      </c>
      <c r="M22" s="99">
        <f>Параметры!N35</f>
        <v>1000000</v>
      </c>
      <c r="N22" s="99">
        <f>Параметры!O35</f>
        <v>1000000</v>
      </c>
      <c r="O22" s="97"/>
      <c r="P22" s="97">
        <f>N22</f>
        <v>1000000</v>
      </c>
      <c r="Q22" s="97">
        <f>P22</f>
        <v>1000000</v>
      </c>
      <c r="R22" s="97">
        <f>Q22</f>
        <v>1000000</v>
      </c>
      <c r="S22" s="97">
        <f>R22</f>
        <v>1000000</v>
      </c>
    </row>
    <row r="23" spans="2:19" ht="13.5" customHeight="1">
      <c r="B23" s="38" t="s">
        <v>63</v>
      </c>
      <c r="C23" s="98">
        <f>C15+C16-C17-C19+C21</f>
        <v>59733.333333333256</v>
      </c>
      <c r="D23" s="98">
        <f aca="true" t="shared" si="11" ref="D23:S23">D15+D16-D17-D19+D21</f>
        <v>59733.333333333314</v>
      </c>
      <c r="E23" s="98">
        <f t="shared" si="11"/>
        <v>59733.333333333314</v>
      </c>
      <c r="F23" s="98">
        <f t="shared" si="11"/>
        <v>59733.333333333314</v>
      </c>
      <c r="G23" s="98">
        <f t="shared" si="11"/>
        <v>59733.333333333314</v>
      </c>
      <c r="H23" s="98">
        <f t="shared" si="11"/>
        <v>59733.333333333314</v>
      </c>
      <c r="I23" s="98">
        <f t="shared" si="11"/>
        <v>59733.333333333314</v>
      </c>
      <c r="J23" s="98">
        <f t="shared" si="11"/>
        <v>59733.333333333314</v>
      </c>
      <c r="K23" s="98">
        <f t="shared" si="11"/>
        <v>59733.333333333314</v>
      </c>
      <c r="L23" s="98">
        <f t="shared" si="11"/>
        <v>59733.333333333314</v>
      </c>
      <c r="M23" s="98">
        <f t="shared" si="11"/>
        <v>59733.333333333314</v>
      </c>
      <c r="N23" s="98">
        <f t="shared" si="11"/>
        <v>59733.333333333314</v>
      </c>
      <c r="O23" s="97">
        <f t="shared" si="9"/>
        <v>716799.9999999995</v>
      </c>
      <c r="P23" s="97">
        <f t="shared" si="11"/>
        <v>751169.5000000009</v>
      </c>
      <c r="Q23" s="97">
        <f t="shared" si="11"/>
        <v>842843.3250000002</v>
      </c>
      <c r="R23" s="97">
        <f t="shared" si="11"/>
        <v>945250.3621875001</v>
      </c>
      <c r="S23" s="97">
        <f t="shared" si="11"/>
        <v>1059617.8678242192</v>
      </c>
    </row>
    <row r="24" spans="2:19" ht="13.5" customHeight="1">
      <c r="B24" s="40" t="s">
        <v>100</v>
      </c>
      <c r="C24" s="98">
        <f>Параметры!D21</f>
        <v>1702000</v>
      </c>
      <c r="D24" s="98">
        <f>Параметры!E21</f>
        <v>0</v>
      </c>
      <c r="E24" s="98">
        <f>Параметры!F21</f>
        <v>0</v>
      </c>
      <c r="F24" s="98">
        <f>Параметры!G21</f>
        <v>0</v>
      </c>
      <c r="G24" s="98">
        <f>Параметры!H21</f>
        <v>0</v>
      </c>
      <c r="H24" s="98">
        <f>Параметры!I21</f>
        <v>0</v>
      </c>
      <c r="I24" s="98">
        <f>Параметры!J21</f>
        <v>0</v>
      </c>
      <c r="J24" s="98">
        <f>Параметры!K21</f>
        <v>0</v>
      </c>
      <c r="K24" s="98">
        <f>Параметры!L21</f>
        <v>0</v>
      </c>
      <c r="L24" s="98">
        <f>Параметры!M21</f>
        <v>0</v>
      </c>
      <c r="M24" s="98">
        <f>Параметры!N21</f>
        <v>0</v>
      </c>
      <c r="N24" s="98">
        <f>Параметры!O21</f>
        <v>0</v>
      </c>
      <c r="O24" s="97">
        <f t="shared" si="9"/>
        <v>1702000</v>
      </c>
      <c r="P24" s="113">
        <f>Параметры!$D$70</f>
        <v>130000</v>
      </c>
      <c r="Q24" s="113">
        <f>Параметры!$D$70</f>
        <v>130000</v>
      </c>
      <c r="R24" s="113">
        <f>Параметры!$D$70</f>
        <v>130000</v>
      </c>
      <c r="S24" s="113">
        <f>Параметры!$D$70</f>
        <v>130000</v>
      </c>
    </row>
    <row r="25" spans="2:19" ht="13.5" customHeight="1">
      <c r="B25" s="40" t="s">
        <v>101</v>
      </c>
      <c r="C25" s="98">
        <f>Параметры!D30</f>
        <v>0</v>
      </c>
      <c r="D25" s="98">
        <f>Параметры!E30</f>
        <v>0</v>
      </c>
      <c r="E25" s="98">
        <f>Параметры!F30</f>
        <v>0</v>
      </c>
      <c r="F25" s="98">
        <f>Параметры!G30</f>
        <v>0</v>
      </c>
      <c r="G25" s="98">
        <f>Параметры!H30</f>
        <v>0</v>
      </c>
      <c r="H25" s="98">
        <f>Параметры!I30</f>
        <v>0</v>
      </c>
      <c r="I25" s="98">
        <f>Параметры!J30</f>
        <v>0</v>
      </c>
      <c r="J25" s="98">
        <f>Параметры!K30</f>
        <v>0</v>
      </c>
      <c r="K25" s="98">
        <f>Параметры!L30</f>
        <v>0</v>
      </c>
      <c r="L25" s="98">
        <f>Параметры!M30</f>
        <v>0</v>
      </c>
      <c r="M25" s="98">
        <f>Параметры!N30</f>
        <v>0</v>
      </c>
      <c r="N25" s="98">
        <f>Параметры!O30</f>
        <v>0</v>
      </c>
      <c r="O25" s="97">
        <f>SUM(C25:N25)</f>
        <v>0</v>
      </c>
      <c r="P25" s="97"/>
      <c r="Q25" s="97"/>
      <c r="R25" s="97"/>
      <c r="S25" s="97"/>
    </row>
    <row r="26" spans="2:19" ht="13.5" customHeight="1">
      <c r="B26" s="42" t="s">
        <v>66</v>
      </c>
      <c r="C26" s="98">
        <f>C23-C24+C25</f>
        <v>-1642266.6666666667</v>
      </c>
      <c r="D26" s="98">
        <f aca="true" t="shared" si="12" ref="D26:S26">D23-D24+D25</f>
        <v>59733.333333333314</v>
      </c>
      <c r="E26" s="98">
        <f t="shared" si="12"/>
        <v>59733.333333333314</v>
      </c>
      <c r="F26" s="98">
        <f t="shared" si="12"/>
        <v>59733.333333333314</v>
      </c>
      <c r="G26" s="98">
        <f t="shared" si="12"/>
        <v>59733.333333333314</v>
      </c>
      <c r="H26" s="98">
        <f t="shared" si="12"/>
        <v>59733.333333333314</v>
      </c>
      <c r="I26" s="98">
        <f t="shared" si="12"/>
        <v>59733.333333333314</v>
      </c>
      <c r="J26" s="98">
        <f t="shared" si="12"/>
        <v>59733.333333333314</v>
      </c>
      <c r="K26" s="98">
        <f t="shared" si="12"/>
        <v>59733.333333333314</v>
      </c>
      <c r="L26" s="98">
        <f t="shared" si="12"/>
        <v>59733.333333333314</v>
      </c>
      <c r="M26" s="98">
        <f t="shared" si="12"/>
        <v>59733.333333333314</v>
      </c>
      <c r="N26" s="98">
        <f t="shared" si="12"/>
        <v>59733.333333333314</v>
      </c>
      <c r="O26" s="97">
        <f>SUM(C26:N26)</f>
        <v>-985200.0000000009</v>
      </c>
      <c r="P26" s="97">
        <f t="shared" si="12"/>
        <v>621169.5000000009</v>
      </c>
      <c r="Q26" s="97">
        <f t="shared" si="12"/>
        <v>712843.3250000002</v>
      </c>
      <c r="R26" s="97">
        <f t="shared" si="12"/>
        <v>815250.3621875001</v>
      </c>
      <c r="S26" s="97">
        <f t="shared" si="12"/>
        <v>929617.8678242192</v>
      </c>
    </row>
    <row r="27" spans="2:19" ht="13.5" customHeight="1">
      <c r="B27" s="42" t="s">
        <v>67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7">
        <f>O26</f>
        <v>-985200.0000000009</v>
      </c>
      <c r="P27" s="97">
        <f>P26/(1+Параметры!$D$71/100)^1</f>
        <v>500943.14516129106</v>
      </c>
      <c r="Q27" s="97">
        <f>Q26/(1+Параметры!$D$71/100)^2</f>
        <v>463607.7816077004</v>
      </c>
      <c r="R27" s="97">
        <f>R26/(1+Параметры!$D$71/100)^3</f>
        <v>427588.42969956325</v>
      </c>
      <c r="S27" s="97">
        <f>S26/(1+Параметры!$D$71/100)^4</f>
        <v>393203.81411882956</v>
      </c>
    </row>
    <row r="28" spans="2:19" ht="13.5" customHeight="1">
      <c r="B28" s="42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7">
        <f>O27</f>
        <v>-985200.0000000009</v>
      </c>
      <c r="P28" s="97"/>
      <c r="Q28" s="97"/>
      <c r="R28" s="97"/>
      <c r="S28" s="97"/>
    </row>
    <row r="29" spans="2:19" ht="13.5" customHeight="1">
      <c r="B29" s="38" t="s">
        <v>10</v>
      </c>
      <c r="C29" s="97">
        <f>C26</f>
        <v>-1642266.6666666667</v>
      </c>
      <c r="D29" s="97">
        <f>C29+D26</f>
        <v>-1582533.3333333335</v>
      </c>
      <c r="E29" s="97">
        <f aca="true" t="shared" si="13" ref="E29:N29">D29+E26</f>
        <v>-1522800.0000000002</v>
      </c>
      <c r="F29" s="97">
        <f t="shared" si="13"/>
        <v>-1463066.666666667</v>
      </c>
      <c r="G29" s="97">
        <f t="shared" si="13"/>
        <v>-1403333.3333333337</v>
      </c>
      <c r="H29" s="97">
        <f t="shared" si="13"/>
        <v>-1343600.0000000005</v>
      </c>
      <c r="I29" s="97">
        <f t="shared" si="13"/>
        <v>-1283866.6666666672</v>
      </c>
      <c r="J29" s="97">
        <f t="shared" si="13"/>
        <v>-1224133.333333334</v>
      </c>
      <c r="K29" s="97">
        <f t="shared" si="13"/>
        <v>-1164400.0000000007</v>
      </c>
      <c r="L29" s="97">
        <f t="shared" si="13"/>
        <v>-1104666.6666666674</v>
      </c>
      <c r="M29" s="97">
        <f t="shared" si="13"/>
        <v>-1044933.3333333342</v>
      </c>
      <c r="N29" s="97">
        <f t="shared" si="13"/>
        <v>-985200.0000000009</v>
      </c>
      <c r="O29" s="97" t="s">
        <v>12</v>
      </c>
      <c r="P29" s="97">
        <f>N29+P26</f>
        <v>-364030.5</v>
      </c>
      <c r="Q29" s="97">
        <f>P29+Q26</f>
        <v>348812.8250000002</v>
      </c>
      <c r="R29" s="97">
        <f>Q29+R26</f>
        <v>1164063.1871875003</v>
      </c>
      <c r="S29" s="97">
        <f>R29+S26</f>
        <v>2093681.0550117195</v>
      </c>
    </row>
    <row r="30" spans="2:19" ht="10.5" customHeight="1" thickBot="1">
      <c r="B30" s="3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2:15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 t="s">
        <v>12</v>
      </c>
      <c r="N32" s="14"/>
      <c r="O32" s="100" t="s">
        <v>12</v>
      </c>
    </row>
    <row r="33" spans="2:15" ht="12.75">
      <c r="B33" s="14"/>
      <c r="C33" s="14"/>
      <c r="D33" s="14"/>
      <c r="E33" s="14"/>
      <c r="F33" s="14"/>
      <c r="G33" s="14" t="s">
        <v>12</v>
      </c>
      <c r="H33" s="14"/>
      <c r="I33" s="14"/>
      <c r="J33" s="14"/>
      <c r="K33" s="14"/>
      <c r="L33" s="14"/>
      <c r="M33" s="14"/>
      <c r="N33" s="14"/>
      <c r="O33" s="14"/>
    </row>
    <row r="34" spans="2:15" ht="12.75">
      <c r="B34" s="14"/>
      <c r="C34" s="14"/>
      <c r="D34" s="14"/>
      <c r="E34" s="14"/>
      <c r="F34" s="14" t="s">
        <v>12</v>
      </c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2:15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15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2:15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15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2:15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2:15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15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</sheetData>
  <sheetProtection/>
  <mergeCells count="2">
    <mergeCell ref="C2:N2"/>
    <mergeCell ref="C4:N4"/>
  </mergeCells>
  <hyperlinks>
    <hyperlink ref="B1" location="Содержание!A1" display="Вернуться в содержание"/>
  </hyperlinks>
  <printOptions/>
  <pageMargins left="0.13" right="0.15" top="0.39" bottom="0.41" header="0.26" footer="0.19"/>
  <pageSetup fitToHeight="1" fitToWidth="1"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6"/>
  <sheetViews>
    <sheetView zoomScale="90" zoomScaleNormal="90" zoomScalePageLayoutView="0" workbookViewId="0" topLeftCell="A4">
      <selection activeCell="D14" sqref="D14"/>
    </sheetView>
  </sheetViews>
  <sheetFormatPr defaultColWidth="9.00390625" defaultRowHeight="12.75"/>
  <cols>
    <col min="1" max="1" width="9.125" style="14" customWidth="1"/>
    <col min="2" max="2" width="41.75390625" style="0" customWidth="1"/>
    <col min="3" max="3" width="9.875" style="0" bestFit="1" customWidth="1"/>
    <col min="4" max="4" width="9.375" style="0" customWidth="1"/>
    <col min="5" max="5" width="9.625" style="0" customWidth="1"/>
    <col min="6" max="6" width="9.375" style="0" customWidth="1"/>
    <col min="7" max="7" width="9.125" style="0" customWidth="1"/>
    <col min="8" max="8" width="9.375" style="0" customWidth="1"/>
    <col min="9" max="89" width="9.125" style="14" customWidth="1"/>
  </cols>
  <sheetData>
    <row r="1" spans="2:8" ht="16.5" thickBot="1">
      <c r="B1" s="55" t="s">
        <v>69</v>
      </c>
      <c r="C1" s="14"/>
      <c r="D1" s="14"/>
      <c r="E1" s="14"/>
      <c r="F1" s="14"/>
      <c r="G1" s="14" t="s">
        <v>12</v>
      </c>
      <c r="H1" s="14"/>
    </row>
    <row r="2" spans="2:8" ht="16.5" thickBot="1">
      <c r="B2" s="16" t="s">
        <v>104</v>
      </c>
      <c r="C2" s="130" t="str">
        <f>Параметры!C2</f>
        <v>Ресторан бренда "Х", формата Y (винотека)</v>
      </c>
      <c r="D2" s="131"/>
      <c r="E2" s="131"/>
      <c r="F2" s="131"/>
      <c r="G2" s="131"/>
      <c r="H2" s="132"/>
    </row>
    <row r="3" spans="2:8" ht="15.75">
      <c r="B3" s="5"/>
      <c r="C3" s="11"/>
      <c r="D3" s="12"/>
      <c r="E3" s="12"/>
      <c r="F3" s="12"/>
      <c r="G3" s="12"/>
      <c r="H3" s="13"/>
    </row>
    <row r="4" spans="2:8" ht="16.5" thickBot="1">
      <c r="B4" s="5" t="s">
        <v>16</v>
      </c>
      <c r="C4" s="11"/>
      <c r="D4" s="12"/>
      <c r="E4" s="12"/>
      <c r="F4" s="12"/>
      <c r="G4" s="12"/>
      <c r="H4" s="13"/>
    </row>
    <row r="5" spans="2:8" ht="16.5" thickBot="1">
      <c r="B5" s="15" t="s">
        <v>51</v>
      </c>
      <c r="C5" s="130"/>
      <c r="D5" s="131"/>
      <c r="E5" s="131"/>
      <c r="F5" s="131"/>
      <c r="G5" s="131"/>
      <c r="H5" s="132"/>
    </row>
    <row r="6" spans="2:8" ht="16.5" thickBot="1">
      <c r="B6" s="15" t="s">
        <v>18</v>
      </c>
      <c r="C6" s="130" t="str">
        <f>Параметры!C7</f>
        <v>Бренд "Х", формат Y</v>
      </c>
      <c r="D6" s="131"/>
      <c r="E6" s="131"/>
      <c r="F6" s="131"/>
      <c r="G6" s="131"/>
      <c r="H6" s="132"/>
    </row>
    <row r="7" spans="2:8" ht="16.5" thickBot="1">
      <c r="B7" s="15" t="s">
        <v>17</v>
      </c>
      <c r="C7" s="130"/>
      <c r="D7" s="131"/>
      <c r="E7" s="131"/>
      <c r="F7" s="131"/>
      <c r="G7" s="131"/>
      <c r="H7" s="132"/>
    </row>
    <row r="8" spans="2:8" ht="16.5" thickBot="1">
      <c r="B8" s="15" t="s">
        <v>19</v>
      </c>
      <c r="C8" s="130"/>
      <c r="D8" s="131"/>
      <c r="E8" s="131"/>
      <c r="F8" s="131"/>
      <c r="G8" s="131"/>
      <c r="H8" s="132"/>
    </row>
    <row r="9" spans="2:8" ht="16.5" thickBot="1">
      <c r="B9" s="15" t="s">
        <v>20</v>
      </c>
      <c r="C9" s="130"/>
      <c r="D9" s="131"/>
      <c r="E9" s="131"/>
      <c r="F9" s="131"/>
      <c r="G9" s="131"/>
      <c r="H9" s="132"/>
    </row>
    <row r="10" spans="2:8" ht="15.75">
      <c r="B10" s="5"/>
      <c r="C10" s="11"/>
      <c r="D10" s="12"/>
      <c r="E10" s="12"/>
      <c r="F10" s="12"/>
      <c r="G10" s="12"/>
      <c r="H10" s="13"/>
    </row>
    <row r="11" spans="2:8" ht="15.75">
      <c r="B11" s="5" t="s">
        <v>105</v>
      </c>
      <c r="C11" s="11"/>
      <c r="D11" s="12"/>
      <c r="E11" s="12"/>
      <c r="F11" s="12"/>
      <c r="G11" s="12"/>
      <c r="H11" s="13"/>
    </row>
    <row r="12" spans="2:8" ht="31.5">
      <c r="B12" s="6" t="s">
        <v>106</v>
      </c>
      <c r="C12" s="6" t="s">
        <v>15</v>
      </c>
      <c r="D12" s="6" t="s">
        <v>107</v>
      </c>
      <c r="E12" s="6" t="s">
        <v>0</v>
      </c>
      <c r="F12" s="6" t="s">
        <v>1</v>
      </c>
      <c r="G12" s="6" t="s">
        <v>2</v>
      </c>
      <c r="H12" s="35" t="s">
        <v>3</v>
      </c>
    </row>
    <row r="13" spans="2:8" ht="15.75">
      <c r="B13" s="8" t="s">
        <v>108</v>
      </c>
      <c r="C13" s="17" t="s">
        <v>37</v>
      </c>
      <c r="D13" s="114">
        <f>Макроплан!O15/Макроплан!O6</f>
        <v>0.07026911764705877</v>
      </c>
      <c r="E13" s="114">
        <f>Макроплан!P15/Макроплан!P6</f>
        <v>0.07480574229691886</v>
      </c>
      <c r="F13" s="114">
        <f>Макроплан!Q15/Макроплан!Q6</f>
        <v>0.07961792050153396</v>
      </c>
      <c r="G13" s="114">
        <f>Макроплан!R15/Макроплан!R6</f>
        <v>0.08472175004922605</v>
      </c>
      <c r="H13" s="114">
        <f>Макроплан!S15/Макроплан!S6</f>
        <v>0.09013424409918921</v>
      </c>
    </row>
    <row r="14" spans="2:8" ht="15.75">
      <c r="B14" s="8" t="s">
        <v>110</v>
      </c>
      <c r="C14" s="17" t="s">
        <v>109</v>
      </c>
      <c r="D14" s="115">
        <f>Макроплан!N20/Макроплан!O8*360</f>
        <v>70.58823529411765</v>
      </c>
      <c r="E14" s="115">
        <f>Макроплан!P20/Макроплан!P8*360</f>
        <v>74.30340557275541</v>
      </c>
      <c r="F14" s="115">
        <f>Макроплан!Q20/Макроплан!Q8*360</f>
        <v>78.64984433884975</v>
      </c>
      <c r="G14" s="115">
        <f>Макроплан!R20/Макроплан!R8*360</f>
        <v>83.7966882850484</v>
      </c>
      <c r="H14" s="115">
        <f>Макроплан!S20/Макроплан!S8*360</f>
        <v>89.97934692802544</v>
      </c>
    </row>
    <row r="15" spans="2:8" ht="31.5">
      <c r="B15" s="8" t="s">
        <v>111</v>
      </c>
      <c r="C15" s="17" t="s">
        <v>37</v>
      </c>
      <c r="D15" s="114">
        <f>Макроплан!O15/(Макроплан!O19-Макроплан!O21+Макроплан!O24)</f>
        <v>0.4211192714453581</v>
      </c>
      <c r="E15" s="114">
        <f>Макроплан!P15/(Макроплан!P20-Макроплан!P22+Макроплан!O24+Макроплан!P24)</f>
        <v>0.42570111583421943</v>
      </c>
      <c r="F15" s="114">
        <f>Макроплан!Q15/(Макроплан!Q20-Макроплан!Q22+Макроплан!O24+Макроплан!P24+Макроплан!Q24)</f>
        <v>0.43368531121336895</v>
      </c>
      <c r="G15" s="114">
        <f>Макроплан!R15/(Макроплан!R20-Макроплан!R22+Макроплан!O24+Макроплан!P24+Макроплан!Q24+Макроплан!R24)</f>
        <v>0.44468538631438576</v>
      </c>
      <c r="H15" s="116">
        <f>Макроплан!S15/(Макроплан!S20-Макроплан!S22+Макроплан!O24+Макроплан!P24+Макроплан!Q24+Макроплан!R24+Макроплан!S24)</f>
        <v>0.4584600010048053</v>
      </c>
    </row>
    <row r="16" spans="2:8" ht="31.5">
      <c r="B16" s="8" t="s">
        <v>115</v>
      </c>
      <c r="C16" s="17" t="s">
        <v>52</v>
      </c>
      <c r="D16" s="142">
        <f>Макроплан!O27+Макроплан!P27+Макроплан!Q27+Макроплан!R27+Макроплан!S27</f>
        <v>800143.1705873833</v>
      </c>
      <c r="E16" s="143"/>
      <c r="F16" s="143"/>
      <c r="G16" s="143"/>
      <c r="H16" s="144"/>
    </row>
    <row r="17" spans="2:8" ht="15.75">
      <c r="B17" s="8" t="s">
        <v>112</v>
      </c>
      <c r="C17" s="17" t="s">
        <v>113</v>
      </c>
      <c r="D17" s="117" t="str">
        <f>IF(Макроплан!N29&gt;0,"да","нет")</f>
        <v>нет</v>
      </c>
      <c r="E17" s="117" t="str">
        <f>IF(Макроплан!P29&gt;0,"да","нет")</f>
        <v>нет</v>
      </c>
      <c r="F17" s="117" t="str">
        <f>IF(Макроплан!Q29&gt;0,"да","нет")</f>
        <v>да</v>
      </c>
      <c r="G17" s="117" t="str">
        <f>IF(Макроплан!R29&gt;0,"да","нет")</f>
        <v>да</v>
      </c>
      <c r="H17" s="117" t="str">
        <f>IF(Макроплан!S29&gt;0,"да","нет")</f>
        <v>да</v>
      </c>
    </row>
    <row r="18" spans="2:8" ht="31.5">
      <c r="B18" s="8" t="s">
        <v>114</v>
      </c>
      <c r="C18" s="17" t="s">
        <v>52</v>
      </c>
      <c r="D18" s="115">
        <f>Макроплан!O6/2000</f>
        <v>5100</v>
      </c>
      <c r="E18" s="115">
        <f>Макроплан!P6/2000</f>
        <v>5355</v>
      </c>
      <c r="F18" s="115">
        <f>Макроплан!Q6/2000</f>
        <v>5622.75</v>
      </c>
      <c r="G18" s="115">
        <f>Макроплан!R6/2000</f>
        <v>5903.8875</v>
      </c>
      <c r="H18" s="115">
        <f>Макроплан!S6/2000</f>
        <v>6199.081875</v>
      </c>
    </row>
    <row r="19" spans="2:8" ht="15.75" thickBot="1">
      <c r="B19" s="118" t="s">
        <v>12</v>
      </c>
      <c r="C19" s="45" t="s">
        <v>12</v>
      </c>
      <c r="D19" s="119" t="s">
        <v>12</v>
      </c>
      <c r="E19" s="119" t="s">
        <v>12</v>
      </c>
      <c r="F19" s="119" t="str">
        <f>E19</f>
        <v> </v>
      </c>
      <c r="G19" s="119" t="str">
        <f>F19</f>
        <v> </v>
      </c>
      <c r="H19" s="120" t="str">
        <f>G19</f>
        <v> </v>
      </c>
    </row>
    <row r="20" spans="2:8" ht="12.75">
      <c r="B20" s="14"/>
      <c r="C20" s="14"/>
      <c r="D20" s="14"/>
      <c r="E20" s="14"/>
      <c r="F20" s="14"/>
      <c r="G20" s="14"/>
      <c r="H20" s="14"/>
    </row>
    <row r="21" spans="2:8" ht="12.75">
      <c r="B21" s="14"/>
      <c r="C21" s="14"/>
      <c r="D21" s="14"/>
      <c r="E21" s="14"/>
      <c r="F21" s="14"/>
      <c r="G21" s="14"/>
      <c r="H21" s="14"/>
    </row>
    <row r="22" spans="2:8" ht="12.75">
      <c r="B22" s="14"/>
      <c r="C22" s="14"/>
      <c r="D22" s="121" t="s">
        <v>12</v>
      </c>
      <c r="E22" s="14"/>
      <c r="F22" s="14"/>
      <c r="G22" s="14"/>
      <c r="H22" s="14"/>
    </row>
    <row r="23" spans="2:8" ht="12.75">
      <c r="B23" s="14"/>
      <c r="C23" s="14"/>
      <c r="D23" s="14"/>
      <c r="E23" s="14"/>
      <c r="F23" s="14"/>
      <c r="G23" s="14"/>
      <c r="H23" s="14"/>
    </row>
    <row r="24" spans="2:8" ht="12.75">
      <c r="B24" s="14"/>
      <c r="C24" s="14"/>
      <c r="D24" s="14"/>
      <c r="E24" s="14"/>
      <c r="F24" s="14"/>
      <c r="G24" s="14"/>
      <c r="H24" s="14"/>
    </row>
    <row r="25" spans="2:8" ht="12.75">
      <c r="B25" s="14"/>
      <c r="C25" s="14"/>
      <c r="D25" s="14"/>
      <c r="E25" s="14"/>
      <c r="F25" s="14"/>
      <c r="G25" s="14"/>
      <c r="H25" s="14"/>
    </row>
    <row r="26" spans="2:8" ht="12.75">
      <c r="B26" s="14"/>
      <c r="C26" s="14"/>
      <c r="D26" s="14"/>
      <c r="E26" s="14"/>
      <c r="F26" s="14"/>
      <c r="G26" s="14"/>
      <c r="H26" s="14"/>
    </row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</sheetData>
  <sheetProtection/>
  <mergeCells count="7">
    <mergeCell ref="D16:H16"/>
    <mergeCell ref="C2:H2"/>
    <mergeCell ref="C5:H5"/>
    <mergeCell ref="C6:H6"/>
    <mergeCell ref="C7:H7"/>
    <mergeCell ref="C8:H8"/>
    <mergeCell ref="C9:H9"/>
  </mergeCells>
  <hyperlinks>
    <hyperlink ref="B1" location="Содержание!A1" display="Вернуться в содержание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.75390625" style="63" customWidth="1"/>
    <col min="2" max="2" width="27.25390625" style="66" customWidth="1"/>
    <col min="3" max="3" width="7.875" style="65" customWidth="1"/>
    <col min="4" max="5" width="9.125" style="62" customWidth="1"/>
  </cols>
  <sheetData>
    <row r="1" spans="1:5" s="60" customFormat="1" ht="18" customHeight="1">
      <c r="A1" s="145"/>
      <c r="B1" s="145"/>
      <c r="C1" s="145"/>
      <c r="D1" s="61"/>
      <c r="E1" s="61"/>
    </row>
    <row r="2" spans="1:5" s="60" customFormat="1" ht="15" customHeight="1">
      <c r="A2" s="69" t="s">
        <v>96</v>
      </c>
      <c r="B2" s="67"/>
      <c r="C2" s="67"/>
      <c r="D2" s="61"/>
      <c r="E2" s="61"/>
    </row>
    <row r="3" spans="1:5" s="60" customFormat="1" ht="12" customHeight="1">
      <c r="A3" s="68"/>
      <c r="B3" s="68"/>
      <c r="C3" s="68"/>
      <c r="D3" s="61"/>
      <c r="E3" s="61"/>
    </row>
    <row r="4" spans="1:5" s="73" customFormat="1" ht="15" customHeight="1">
      <c r="A4" s="70" t="s">
        <v>75</v>
      </c>
      <c r="B4" s="71" t="s">
        <v>74</v>
      </c>
      <c r="C4" s="71" t="s">
        <v>72</v>
      </c>
      <c r="D4" s="72" t="s">
        <v>71</v>
      </c>
      <c r="E4" s="72" t="s">
        <v>73</v>
      </c>
    </row>
    <row r="5" spans="1:5" ht="15" customHeight="1">
      <c r="A5" s="74">
        <v>1</v>
      </c>
      <c r="B5" s="75" t="s">
        <v>77</v>
      </c>
      <c r="C5" s="74">
        <v>9</v>
      </c>
      <c r="D5" s="76">
        <v>3000</v>
      </c>
      <c r="E5" s="76">
        <f aca="true" t="shared" si="0" ref="E5:E17">C5*D5</f>
        <v>27000</v>
      </c>
    </row>
    <row r="6" spans="1:5" ht="15" customHeight="1">
      <c r="A6" s="74">
        <v>2</v>
      </c>
      <c r="B6" s="75" t="s">
        <v>78</v>
      </c>
      <c r="C6" s="74">
        <v>6</v>
      </c>
      <c r="D6" s="76">
        <v>1000</v>
      </c>
      <c r="E6" s="76">
        <f t="shared" si="0"/>
        <v>6000</v>
      </c>
    </row>
    <row r="7" spans="1:5" ht="15" customHeight="1">
      <c r="A7" s="74">
        <v>3</v>
      </c>
      <c r="B7" s="75" t="s">
        <v>79</v>
      </c>
      <c r="C7" s="74">
        <v>9</v>
      </c>
      <c r="D7" s="76">
        <v>800</v>
      </c>
      <c r="E7" s="76">
        <f t="shared" si="0"/>
        <v>7200</v>
      </c>
    </row>
    <row r="8" spans="1:5" ht="15" customHeight="1">
      <c r="A8" s="74">
        <v>4</v>
      </c>
      <c r="B8" s="75" t="s">
        <v>80</v>
      </c>
      <c r="C8" s="74">
        <v>4</v>
      </c>
      <c r="D8" s="76">
        <v>800</v>
      </c>
      <c r="E8" s="76">
        <f t="shared" si="0"/>
        <v>3200</v>
      </c>
    </row>
    <row r="9" spans="1:10" ht="15" customHeight="1">
      <c r="A9" s="74">
        <v>5</v>
      </c>
      <c r="B9" s="75" t="s">
        <v>81</v>
      </c>
      <c r="C9" s="74">
        <v>6</v>
      </c>
      <c r="D9" s="76">
        <v>1100</v>
      </c>
      <c r="E9" s="76">
        <f t="shared" si="0"/>
        <v>6600</v>
      </c>
      <c r="J9" s="10"/>
    </row>
    <row r="10" spans="1:10" ht="15" customHeight="1">
      <c r="A10" s="74">
        <v>6</v>
      </c>
      <c r="B10" s="75" t="s">
        <v>82</v>
      </c>
      <c r="C10" s="74">
        <v>3</v>
      </c>
      <c r="D10" s="76">
        <v>3500</v>
      </c>
      <c r="E10" s="76">
        <f t="shared" si="0"/>
        <v>10500</v>
      </c>
      <c r="J10" s="10"/>
    </row>
    <row r="11" spans="1:10" ht="25.5">
      <c r="A11" s="74">
        <v>7</v>
      </c>
      <c r="B11" s="75" t="s">
        <v>88</v>
      </c>
      <c r="C11" s="74">
        <v>30</v>
      </c>
      <c r="D11" s="76">
        <v>450</v>
      </c>
      <c r="E11" s="76">
        <f t="shared" si="0"/>
        <v>13500</v>
      </c>
      <c r="J11" s="10"/>
    </row>
    <row r="12" spans="1:10" ht="15" customHeight="1">
      <c r="A12" s="74">
        <v>8</v>
      </c>
      <c r="B12" s="75" t="s">
        <v>83</v>
      </c>
      <c r="C12" s="74">
        <v>5</v>
      </c>
      <c r="D12" s="76">
        <v>4000</v>
      </c>
      <c r="E12" s="76">
        <f t="shared" si="0"/>
        <v>20000</v>
      </c>
      <c r="J12" s="10"/>
    </row>
    <row r="13" spans="1:10" ht="15" customHeight="1">
      <c r="A13" s="74">
        <v>9</v>
      </c>
      <c r="B13" s="75" t="s">
        <v>84</v>
      </c>
      <c r="C13" s="74">
        <v>9</v>
      </c>
      <c r="D13" s="76">
        <v>800</v>
      </c>
      <c r="E13" s="76">
        <f t="shared" si="0"/>
        <v>7200</v>
      </c>
      <c r="J13" s="10"/>
    </row>
    <row r="14" spans="1:10" ht="15" customHeight="1">
      <c r="A14" s="74">
        <v>10</v>
      </c>
      <c r="B14" s="75" t="s">
        <v>85</v>
      </c>
      <c r="C14" s="74">
        <v>4</v>
      </c>
      <c r="D14" s="76">
        <v>3000</v>
      </c>
      <c r="E14" s="76">
        <f t="shared" si="0"/>
        <v>12000</v>
      </c>
      <c r="J14" s="10"/>
    </row>
    <row r="15" spans="1:10" ht="18.75" customHeight="1">
      <c r="A15" s="74">
        <v>11</v>
      </c>
      <c r="B15" s="75" t="s">
        <v>89</v>
      </c>
      <c r="C15" s="74">
        <v>3</v>
      </c>
      <c r="D15" s="76">
        <v>2000</v>
      </c>
      <c r="E15" s="76">
        <f t="shared" si="0"/>
        <v>6000</v>
      </c>
      <c r="J15" s="10"/>
    </row>
    <row r="16" spans="1:10" ht="15" customHeight="1">
      <c r="A16" s="74">
        <v>12</v>
      </c>
      <c r="B16" s="75" t="s">
        <v>86</v>
      </c>
      <c r="C16" s="74">
        <v>1</v>
      </c>
      <c r="D16" s="76">
        <v>15000</v>
      </c>
      <c r="E16" s="76">
        <f t="shared" si="0"/>
        <v>15000</v>
      </c>
      <c r="J16" s="10"/>
    </row>
    <row r="17" spans="1:10" ht="15" customHeight="1">
      <c r="A17" s="74">
        <v>13</v>
      </c>
      <c r="B17" s="75" t="s">
        <v>87</v>
      </c>
      <c r="C17" s="74">
        <v>1</v>
      </c>
      <c r="D17" s="76">
        <v>5000</v>
      </c>
      <c r="E17" s="76">
        <f t="shared" si="0"/>
        <v>5000</v>
      </c>
      <c r="J17" s="10"/>
    </row>
    <row r="18" spans="1:10" ht="15" customHeight="1">
      <c r="A18" s="74">
        <v>14</v>
      </c>
      <c r="B18" s="75" t="s">
        <v>90</v>
      </c>
      <c r="C18" s="74"/>
      <c r="D18" s="76"/>
      <c r="E18" s="76">
        <v>15000</v>
      </c>
      <c r="J18" s="10"/>
    </row>
    <row r="19" spans="1:10" ht="15" customHeight="1">
      <c r="A19" s="77">
        <v>15</v>
      </c>
      <c r="B19" s="78"/>
      <c r="C19" s="77"/>
      <c r="D19" s="79"/>
      <c r="E19" s="76"/>
      <c r="J19" s="10"/>
    </row>
    <row r="20" spans="1:5" s="10" customFormat="1" ht="15" customHeight="1">
      <c r="A20" s="80" t="s">
        <v>76</v>
      </c>
      <c r="B20" s="81"/>
      <c r="C20" s="82"/>
      <c r="D20" s="83"/>
      <c r="E20" s="84">
        <f>SUM(E5:E19)</f>
        <v>154200</v>
      </c>
    </row>
    <row r="21" ht="18">
      <c r="B21" s="64"/>
    </row>
    <row r="22" ht="18">
      <c r="B22" s="64"/>
    </row>
    <row r="23" ht="18">
      <c r="B23" s="64"/>
    </row>
    <row r="24" ht="18">
      <c r="B24" s="64"/>
    </row>
    <row r="25" ht="18">
      <c r="B25" s="64"/>
    </row>
    <row r="26" ht="18">
      <c r="B26" s="64"/>
    </row>
    <row r="27" ht="18">
      <c r="B27" s="64"/>
    </row>
    <row r="28" ht="18">
      <c r="B28" s="64"/>
    </row>
    <row r="29" ht="18">
      <c r="B29" s="64"/>
    </row>
    <row r="30" ht="18">
      <c r="B30" s="64"/>
    </row>
    <row r="31" ht="18">
      <c r="B31" s="64"/>
    </row>
    <row r="32" ht="18">
      <c r="B32" s="64"/>
    </row>
    <row r="33" ht="18">
      <c r="B33" s="64"/>
    </row>
    <row r="34" ht="18">
      <c r="B34" s="64"/>
    </row>
    <row r="35" ht="18">
      <c r="B35" s="64"/>
    </row>
    <row r="36" ht="18">
      <c r="B36" s="64"/>
    </row>
    <row r="37" ht="18">
      <c r="B37" s="64"/>
    </row>
    <row r="38" ht="18">
      <c r="B38" s="64"/>
    </row>
    <row r="39" ht="18">
      <c r="B39" s="64"/>
    </row>
    <row r="40" ht="18">
      <c r="B40" s="64"/>
    </row>
    <row r="41" ht="18">
      <c r="B41" s="64"/>
    </row>
    <row r="42" ht="18">
      <c r="B42" s="64"/>
    </row>
    <row r="43" ht="18">
      <c r="B43" s="64"/>
    </row>
    <row r="44" ht="18">
      <c r="B44" s="64"/>
    </row>
    <row r="45" ht="18">
      <c r="B45" s="64"/>
    </row>
    <row r="46" ht="18">
      <c r="B46" s="64"/>
    </row>
    <row r="47" ht="18">
      <c r="B47" s="64"/>
    </row>
    <row r="48" ht="18">
      <c r="B48" s="64"/>
    </row>
    <row r="49" ht="18">
      <c r="B49" s="64"/>
    </row>
    <row r="50" ht="18">
      <c r="B50" s="64"/>
    </row>
    <row r="51" ht="18">
      <c r="B51" s="64"/>
    </row>
    <row r="52" ht="18">
      <c r="B52" s="64"/>
    </row>
    <row r="53" ht="18">
      <c r="B53" s="64"/>
    </row>
    <row r="54" ht="18">
      <c r="B54" s="64"/>
    </row>
    <row r="55" ht="18">
      <c r="B55" s="64"/>
    </row>
    <row r="56" ht="18">
      <c r="B56" s="64"/>
    </row>
    <row r="57" ht="18">
      <c r="B57" s="64"/>
    </row>
    <row r="58" ht="18">
      <c r="B58" s="64"/>
    </row>
    <row r="59" ht="18">
      <c r="B59" s="64"/>
    </row>
    <row r="60" ht="18">
      <c r="B60" s="64"/>
    </row>
    <row r="61" ht="18">
      <c r="B61" s="64"/>
    </row>
    <row r="62" ht="18">
      <c r="B62" s="64"/>
    </row>
    <row r="63" ht="18">
      <c r="B63" s="64"/>
    </row>
    <row r="64" ht="18">
      <c r="B64" s="64"/>
    </row>
    <row r="65" ht="18">
      <c r="B65" s="64"/>
    </row>
    <row r="66" ht="18">
      <c r="B66" s="64"/>
    </row>
    <row r="67" ht="18">
      <c r="B67" s="64"/>
    </row>
    <row r="68" ht="18">
      <c r="B68" s="64"/>
    </row>
    <row r="69" ht="18">
      <c r="B69" s="64"/>
    </row>
    <row r="70" ht="18">
      <c r="B70" s="64"/>
    </row>
    <row r="71" ht="18">
      <c r="B71" s="64"/>
    </row>
    <row r="72" ht="18">
      <c r="B72" s="64"/>
    </row>
    <row r="73" ht="18">
      <c r="B73" s="64"/>
    </row>
    <row r="74" ht="18">
      <c r="B74" s="64"/>
    </row>
    <row r="75" ht="18">
      <c r="B75" s="64"/>
    </row>
    <row r="76" ht="18">
      <c r="B76" s="64"/>
    </row>
    <row r="77" ht="18">
      <c r="B77" s="64"/>
    </row>
    <row r="78" ht="18">
      <c r="B78" s="64"/>
    </row>
    <row r="79" ht="18">
      <c r="B79" s="64"/>
    </row>
    <row r="80" ht="18">
      <c r="B80" s="64"/>
    </row>
    <row r="81" ht="18">
      <c r="B81" s="64"/>
    </row>
    <row r="82" ht="18">
      <c r="B82" s="64"/>
    </row>
    <row r="83" ht="18">
      <c r="B83" s="64"/>
    </row>
    <row r="84" ht="18">
      <c r="B84" s="64"/>
    </row>
    <row r="85" ht="18">
      <c r="B85" s="64"/>
    </row>
    <row r="86" ht="18">
      <c r="B86" s="64"/>
    </row>
    <row r="87" ht="18">
      <c r="B87" s="64"/>
    </row>
    <row r="88" ht="18">
      <c r="B88" s="64"/>
    </row>
    <row r="89" ht="18">
      <c r="B89" s="64"/>
    </row>
    <row r="90" ht="18">
      <c r="B90" s="64"/>
    </row>
    <row r="91" ht="18">
      <c r="B91" s="64"/>
    </row>
    <row r="92" ht="18">
      <c r="B92" s="64"/>
    </row>
    <row r="93" ht="18">
      <c r="B93" s="64"/>
    </row>
    <row r="94" ht="18">
      <c r="B94" s="64"/>
    </row>
    <row r="95" ht="18">
      <c r="B95" s="64"/>
    </row>
    <row r="96" ht="18">
      <c r="B96" s="64"/>
    </row>
    <row r="97" ht="18">
      <c r="B97" s="64"/>
    </row>
    <row r="98" ht="18">
      <c r="B98" s="64"/>
    </row>
    <row r="99" ht="18">
      <c r="B99" s="64"/>
    </row>
    <row r="100" ht="18">
      <c r="B100" s="64"/>
    </row>
    <row r="101" ht="18">
      <c r="B101" s="64"/>
    </row>
    <row r="102" ht="18">
      <c r="B102" s="64"/>
    </row>
    <row r="103" ht="18">
      <c r="B103" s="64"/>
    </row>
    <row r="104" ht="18">
      <c r="B104" s="64"/>
    </row>
    <row r="105" ht="18">
      <c r="B105" s="64"/>
    </row>
    <row r="106" ht="18">
      <c r="B106" s="64"/>
    </row>
    <row r="107" ht="18">
      <c r="B107" s="64"/>
    </row>
    <row r="108" ht="18">
      <c r="B108" s="64"/>
    </row>
    <row r="109" ht="18">
      <c r="B109" s="64"/>
    </row>
    <row r="110" ht="18">
      <c r="B110" s="64"/>
    </row>
    <row r="111" ht="18">
      <c r="B111" s="64"/>
    </row>
    <row r="112" ht="18">
      <c r="B112" s="64"/>
    </row>
    <row r="113" ht="18">
      <c r="B113" s="64"/>
    </row>
    <row r="114" ht="18">
      <c r="B114" s="64"/>
    </row>
    <row r="115" ht="18">
      <c r="B115" s="64"/>
    </row>
    <row r="116" ht="18">
      <c r="B116" s="64"/>
    </row>
    <row r="117" ht="18">
      <c r="B117" s="64"/>
    </row>
    <row r="118" ht="18">
      <c r="B118" s="64"/>
    </row>
    <row r="119" ht="18">
      <c r="B119" s="64"/>
    </row>
    <row r="120" ht="18">
      <c r="B120" s="64"/>
    </row>
    <row r="121" ht="18">
      <c r="B121" s="64"/>
    </row>
    <row r="122" ht="18">
      <c r="B122" s="64"/>
    </row>
    <row r="123" ht="18">
      <c r="B123" s="64"/>
    </row>
    <row r="124" ht="18">
      <c r="B124" s="64"/>
    </row>
    <row r="125" ht="18">
      <c r="B125" s="64"/>
    </row>
    <row r="126" ht="18">
      <c r="B126" s="64"/>
    </row>
    <row r="127" ht="18">
      <c r="B127" s="64"/>
    </row>
    <row r="128" ht="18">
      <c r="B128" s="64"/>
    </row>
    <row r="129" ht="18">
      <c r="B129" s="64"/>
    </row>
    <row r="130" ht="18">
      <c r="B130" s="64"/>
    </row>
    <row r="131" ht="18">
      <c r="B131" s="64"/>
    </row>
    <row r="132" ht="18">
      <c r="B132" s="64"/>
    </row>
    <row r="133" ht="18">
      <c r="B133" s="64"/>
    </row>
    <row r="134" ht="18">
      <c r="B134" s="64"/>
    </row>
    <row r="135" ht="18">
      <c r="B135" s="64"/>
    </row>
    <row r="136" ht="18">
      <c r="B136" s="64"/>
    </row>
    <row r="137" ht="18">
      <c r="B137" s="64"/>
    </row>
    <row r="138" ht="18">
      <c r="B138" s="64"/>
    </row>
    <row r="139" ht="18">
      <c r="B139" s="64"/>
    </row>
    <row r="140" ht="18">
      <c r="B140" s="64"/>
    </row>
    <row r="141" ht="18">
      <c r="B141" s="64"/>
    </row>
    <row r="142" ht="18">
      <c r="B142" s="64"/>
    </row>
    <row r="143" ht="18">
      <c r="B143" s="64"/>
    </row>
    <row r="144" ht="18">
      <c r="B144" s="64"/>
    </row>
    <row r="145" ht="18">
      <c r="B145" s="64"/>
    </row>
    <row r="146" ht="18">
      <c r="B146" s="64"/>
    </row>
    <row r="147" ht="18">
      <c r="B147" s="64"/>
    </row>
    <row r="148" ht="18">
      <c r="B148" s="64"/>
    </row>
    <row r="149" ht="18">
      <c r="B149" s="64"/>
    </row>
    <row r="150" ht="18">
      <c r="B150" s="64"/>
    </row>
    <row r="151" ht="18">
      <c r="B151" s="64"/>
    </row>
    <row r="152" ht="18">
      <c r="B152" s="64"/>
    </row>
    <row r="153" ht="18">
      <c r="B153" s="64"/>
    </row>
    <row r="154" ht="18">
      <c r="B154" s="64"/>
    </row>
    <row r="155" ht="18">
      <c r="B155" s="64"/>
    </row>
    <row r="156" ht="18">
      <c r="B156" s="64"/>
    </row>
    <row r="157" ht="18">
      <c r="B157" s="64"/>
    </row>
    <row r="158" ht="18">
      <c r="B158" s="64"/>
    </row>
    <row r="159" ht="18">
      <c r="B159" s="64"/>
    </row>
    <row r="160" ht="18">
      <c r="B160" s="64"/>
    </row>
    <row r="161" ht="18">
      <c r="B161" s="64"/>
    </row>
    <row r="162" ht="18">
      <c r="B162" s="64"/>
    </row>
    <row r="163" ht="18">
      <c r="B163" s="64"/>
    </row>
    <row r="164" ht="18">
      <c r="B164" s="64"/>
    </row>
    <row r="165" ht="18">
      <c r="B165" s="64"/>
    </row>
    <row r="166" ht="18">
      <c r="B166" s="64"/>
    </row>
    <row r="167" ht="18">
      <c r="B167" s="64"/>
    </row>
    <row r="168" ht="18">
      <c r="B168" s="64"/>
    </row>
    <row r="169" ht="18">
      <c r="B169" s="64"/>
    </row>
    <row r="170" ht="18">
      <c r="B170" s="64"/>
    </row>
    <row r="171" ht="18">
      <c r="B171" s="64"/>
    </row>
    <row r="172" ht="18">
      <c r="B172" s="64"/>
    </row>
    <row r="173" ht="18">
      <c r="B173" s="64"/>
    </row>
    <row r="174" ht="18">
      <c r="B174" s="64"/>
    </row>
    <row r="175" ht="18">
      <c r="B175" s="64"/>
    </row>
    <row r="176" ht="18">
      <c r="B176" s="64"/>
    </row>
    <row r="177" ht="18">
      <c r="B177" s="64"/>
    </row>
    <row r="178" ht="18">
      <c r="B178" s="64"/>
    </row>
    <row r="179" ht="18">
      <c r="B179" s="64"/>
    </row>
    <row r="180" ht="18">
      <c r="B180" s="64"/>
    </row>
    <row r="181" ht="18">
      <c r="B181" s="64"/>
    </row>
    <row r="182" ht="18">
      <c r="B182" s="64"/>
    </row>
    <row r="183" ht="18">
      <c r="B183" s="64"/>
    </row>
    <row r="184" ht="18">
      <c r="B184" s="64"/>
    </row>
    <row r="185" ht="18">
      <c r="B185" s="64"/>
    </row>
    <row r="186" ht="18">
      <c r="B186" s="64"/>
    </row>
    <row r="187" ht="18">
      <c r="B187" s="64"/>
    </row>
    <row r="188" ht="18">
      <c r="B188" s="64"/>
    </row>
  </sheetData>
  <sheetProtection/>
  <mergeCells count="1">
    <mergeCell ref="A1:C1"/>
  </mergeCells>
  <printOptions/>
  <pageMargins left="0.48" right="0.16" top="0.28" bottom="0.3" header="0.21" footer="0.26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>DELL</cp:lastModifiedBy>
  <cp:lastPrinted>2011-01-15T11:25:51Z</cp:lastPrinted>
  <dcterms:created xsi:type="dcterms:W3CDTF">2007-02-03T13:10:16Z</dcterms:created>
  <dcterms:modified xsi:type="dcterms:W3CDTF">2017-05-27T14:54:07Z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